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varro\Desktop\"/>
    </mc:Choice>
  </mc:AlternateContent>
  <bookViews>
    <workbookView xWindow="0" yWindow="0" windowWidth="28800" windowHeight="12300"/>
  </bookViews>
  <sheets>
    <sheet name="Mapa de Riesgos de Corrupción" sheetId="1" r:id="rId1"/>
    <sheet name="Mapa de Riesgos de Gestión" sheetId="2" r:id="rId2"/>
    <sheet name="Listas desplegables" sheetId="3" state="hidden" r:id="rId3"/>
    <sheet name="Listas" sheetId="4" state="hidden" r:id="rId4"/>
    <sheet name="Intrucciones" sheetId="5" state="hidden" r:id="rId5"/>
    <sheet name="Matriz Calor Inherente" sheetId="6" state="hidden" r:id="rId6"/>
    <sheet name="Anexo 1  Clasificación del ries" sheetId="7" state="hidden" r:id="rId7"/>
    <sheet name="Anexo 2 Tabla probabilidad" sheetId="8" state="hidden" r:id="rId8"/>
    <sheet name="Anexo 3 Tabla Impacto" sheetId="9" state="hidden" r:id="rId9"/>
    <sheet name="Anexo 4 Matriz Calor Residual" sheetId="10" state="hidden" r:id="rId10"/>
    <sheet name="Anexo 5 Tabla Valor controles" sheetId="11" state="hidden" r:id="rId11"/>
    <sheet name="Anexo 6 Aceptacion riesgo" sheetId="12" state="hidden" r:id="rId12"/>
    <sheet name="Hoja1" sheetId="13" state="hidden" r:id="rId13"/>
  </sheets>
  <externalReferences>
    <externalReference r:id="rId14"/>
  </externalReferences>
  <definedNames>
    <definedName name="_xlnm._FilterDatabase" localSheetId="0" hidden="1">'Mapa de Riesgos de Corrupción'!$A$6:$BB$24</definedName>
    <definedName name="_xlnm._FilterDatabase" localSheetId="1" hidden="1">'Mapa de Riesgos de Gestión'!$A$7:$BB$38</definedName>
    <definedName name="Activos">[1]DATOS!$Z$3:$Z$12</definedName>
  </definedNames>
  <calcPr calcId="162913"/>
  <extLst>
    <ext uri="GoogleSheetsCustomDataVersion2">
      <go:sheetsCustomData xmlns:go="http://customooxmlschemas.google.com/" r:id="rId18" roundtripDataChecksum="oW0gHkOlKsqQivLfTBuvU8Hzabs+5RpUpiezCynoaeI="/>
    </ext>
  </extLst>
</workbook>
</file>

<file path=xl/calcChain.xml><?xml version="1.0" encoding="utf-8"?>
<calcChain xmlns="http://schemas.openxmlformats.org/spreadsheetml/2006/main">
  <c r="AM55" i="10" l="1"/>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J52" i="10"/>
  <c r="AH52" i="10"/>
  <c r="AG52" i="10"/>
  <c r="AF52" i="10"/>
  <c r="AD52" i="10"/>
  <c r="AB52" i="10"/>
  <c r="AA52" i="10"/>
  <c r="Z52" i="10"/>
  <c r="X52" i="10"/>
  <c r="V52" i="10"/>
  <c r="U52" i="10"/>
  <c r="T52" i="10"/>
  <c r="R52" i="10"/>
  <c r="P52" i="10"/>
  <c r="O52" i="10"/>
  <c r="N52" i="10"/>
  <c r="L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L50" i="10"/>
  <c r="AJ50" i="10"/>
  <c r="AI50" i="10"/>
  <c r="AF50" i="10"/>
  <c r="AD50" i="10"/>
  <c r="AC50" i="10"/>
  <c r="Z50" i="10"/>
  <c r="X50" i="10"/>
  <c r="W50" i="10"/>
  <c r="T50" i="10"/>
  <c r="R50" i="10"/>
  <c r="Q50" i="10"/>
  <c r="N50" i="10"/>
  <c r="L50" i="10"/>
  <c r="K50" i="10"/>
  <c r="AL49" i="10"/>
  <c r="AK49" i="10"/>
  <c r="AI49" i="10"/>
  <c r="AF49" i="10"/>
  <c r="AE49" i="10"/>
  <c r="AC49" i="10"/>
  <c r="Z49" i="10"/>
  <c r="Y49" i="10"/>
  <c r="W49" i="10"/>
  <c r="T49" i="10"/>
  <c r="S49" i="10"/>
  <c r="Q49" i="10"/>
  <c r="N49" i="10"/>
  <c r="M49" i="10"/>
  <c r="K49" i="10"/>
  <c r="AM48" i="10"/>
  <c r="AL48" i="10"/>
  <c r="AJ48" i="10"/>
  <c r="AH48" i="10"/>
  <c r="AG48" i="10"/>
  <c r="AF48" i="10"/>
  <c r="AD48" i="10"/>
  <c r="AB48" i="10"/>
  <c r="AA48" i="10"/>
  <c r="Z48" i="10"/>
  <c r="X48" i="10"/>
  <c r="V48" i="10"/>
  <c r="U48" i="10"/>
  <c r="T48" i="10"/>
  <c r="R48" i="10"/>
  <c r="P48" i="10"/>
  <c r="O48" i="10"/>
  <c r="N48" i="10"/>
  <c r="L48" i="10"/>
  <c r="J48" i="10"/>
  <c r="AL47" i="10"/>
  <c r="AK47" i="10"/>
  <c r="AJ47" i="10"/>
  <c r="AI47" i="10"/>
  <c r="AH47" i="10"/>
  <c r="AF47" i="10"/>
  <c r="AE47" i="10"/>
  <c r="AD47" i="10"/>
  <c r="AC47" i="10"/>
  <c r="AB47" i="10"/>
  <c r="Z47" i="10"/>
  <c r="Y47" i="10"/>
  <c r="X47" i="10"/>
  <c r="W47" i="10"/>
  <c r="V47" i="10"/>
  <c r="T47" i="10"/>
  <c r="S47" i="10"/>
  <c r="R47" i="10"/>
  <c r="Q47" i="10"/>
  <c r="P47" i="10"/>
  <c r="N47" i="10"/>
  <c r="M47" i="10"/>
  <c r="L47" i="10"/>
  <c r="K47" i="10"/>
  <c r="J47" i="10"/>
  <c r="AK46" i="10"/>
  <c r="AJ46" i="10"/>
  <c r="AI46" i="10"/>
  <c r="AH46" i="10"/>
  <c r="AE46" i="10"/>
  <c r="AD46" i="10"/>
  <c r="AC46" i="10"/>
  <c r="AB46" i="10"/>
  <c r="Y46" i="10"/>
  <c r="X46" i="10"/>
  <c r="W46" i="10"/>
  <c r="V46" i="10"/>
  <c r="S46" i="10"/>
  <c r="R46" i="10"/>
  <c r="Q46" i="10"/>
  <c r="P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J42" i="10"/>
  <c r="AH42" i="10"/>
  <c r="AG42" i="10"/>
  <c r="AF42" i="10"/>
  <c r="AD42" i="10"/>
  <c r="AB42" i="10"/>
  <c r="AA42" i="10"/>
  <c r="Z42" i="10"/>
  <c r="X42" i="10"/>
  <c r="V42" i="10"/>
  <c r="U42" i="10"/>
  <c r="T42" i="10"/>
  <c r="R42" i="10"/>
  <c r="P42" i="10"/>
  <c r="O42" i="10"/>
  <c r="N42" i="10"/>
  <c r="L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L40" i="10"/>
  <c r="AJ40" i="10"/>
  <c r="AI40" i="10"/>
  <c r="AF40" i="10"/>
  <c r="AD40" i="10"/>
  <c r="AC40" i="10"/>
  <c r="Z40" i="10"/>
  <c r="X40" i="10"/>
  <c r="W40" i="10"/>
  <c r="T40" i="10"/>
  <c r="R40" i="10"/>
  <c r="Q40" i="10"/>
  <c r="N40" i="10"/>
  <c r="L40" i="10"/>
  <c r="K40" i="10"/>
  <c r="AL39" i="10"/>
  <c r="AK39" i="10"/>
  <c r="AI39" i="10"/>
  <c r="AF39" i="10"/>
  <c r="AE39" i="10"/>
  <c r="AC39" i="10"/>
  <c r="Z39" i="10"/>
  <c r="Y39" i="10"/>
  <c r="W39" i="10"/>
  <c r="T39" i="10"/>
  <c r="S39" i="10"/>
  <c r="Q39" i="10"/>
  <c r="N39" i="10"/>
  <c r="M39" i="10"/>
  <c r="K39" i="10"/>
  <c r="AM38" i="10"/>
  <c r="AL38" i="10"/>
  <c r="AJ38" i="10"/>
  <c r="AH38" i="10"/>
  <c r="AG38" i="10"/>
  <c r="AF38" i="10"/>
  <c r="AD38" i="10"/>
  <c r="AB38" i="10"/>
  <c r="AA38" i="10"/>
  <c r="Z38" i="10"/>
  <c r="X38" i="10"/>
  <c r="V38" i="10"/>
  <c r="U38" i="10"/>
  <c r="T38" i="10"/>
  <c r="R38" i="10"/>
  <c r="P38" i="10"/>
  <c r="O38" i="10"/>
  <c r="N38" i="10"/>
  <c r="L38" i="10"/>
  <c r="J38" i="10"/>
  <c r="AL37" i="10"/>
  <c r="AK37" i="10"/>
  <c r="AJ37" i="10"/>
  <c r="AI37" i="10"/>
  <c r="AH37" i="10"/>
  <c r="AF37" i="10"/>
  <c r="AE37" i="10"/>
  <c r="AD37" i="10"/>
  <c r="AC37" i="10"/>
  <c r="AB37" i="10"/>
  <c r="Z37" i="10"/>
  <c r="Y37" i="10"/>
  <c r="X37" i="10"/>
  <c r="W37" i="10"/>
  <c r="V37" i="10"/>
  <c r="T37" i="10"/>
  <c r="S37" i="10"/>
  <c r="R37" i="10"/>
  <c r="Q37" i="10"/>
  <c r="P37" i="10"/>
  <c r="N37" i="10"/>
  <c r="M37" i="10"/>
  <c r="L37" i="10"/>
  <c r="K37" i="10"/>
  <c r="J37" i="10"/>
  <c r="AK36" i="10"/>
  <c r="AJ36" i="10"/>
  <c r="AI36" i="10"/>
  <c r="AH36" i="10"/>
  <c r="AE36" i="10"/>
  <c r="AD36" i="10"/>
  <c r="AC36" i="10"/>
  <c r="AB36" i="10"/>
  <c r="Y36" i="10"/>
  <c r="X36" i="10"/>
  <c r="W36" i="10"/>
  <c r="V36" i="10"/>
  <c r="S36" i="10"/>
  <c r="R36" i="10"/>
  <c r="Q36" i="10"/>
  <c r="P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J32" i="10"/>
  <c r="AH32" i="10"/>
  <c r="AG32" i="10"/>
  <c r="AF32" i="10"/>
  <c r="AD32" i="10"/>
  <c r="AB32" i="10"/>
  <c r="AA32" i="10"/>
  <c r="Z32" i="10"/>
  <c r="X32" i="10"/>
  <c r="V32" i="10"/>
  <c r="U32" i="10"/>
  <c r="T32" i="10"/>
  <c r="R32" i="10"/>
  <c r="P32" i="10"/>
  <c r="O32" i="10"/>
  <c r="N32" i="10"/>
  <c r="L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L30" i="10"/>
  <c r="AJ30" i="10"/>
  <c r="AI30" i="10"/>
  <c r="AF30" i="10"/>
  <c r="AD30" i="10"/>
  <c r="AC30" i="10"/>
  <c r="Z30" i="10"/>
  <c r="X30" i="10"/>
  <c r="W30" i="10"/>
  <c r="T30" i="10"/>
  <c r="R30" i="10"/>
  <c r="Q30" i="10"/>
  <c r="N30" i="10"/>
  <c r="L30" i="10"/>
  <c r="K30" i="10"/>
  <c r="AL29" i="10"/>
  <c r="AK29" i="10"/>
  <c r="AI29" i="10"/>
  <c r="AF29" i="10"/>
  <c r="AE29" i="10"/>
  <c r="AC29" i="10"/>
  <c r="Z29" i="10"/>
  <c r="Y29" i="10"/>
  <c r="W29" i="10"/>
  <c r="T29" i="10"/>
  <c r="S29" i="10"/>
  <c r="Q29" i="10"/>
  <c r="N29" i="10"/>
  <c r="M29" i="10"/>
  <c r="K29" i="10"/>
  <c r="AM28" i="10"/>
  <c r="AL28" i="10"/>
  <c r="AJ28" i="10"/>
  <c r="AH28" i="10"/>
  <c r="AG28" i="10"/>
  <c r="AF28" i="10"/>
  <c r="AD28" i="10"/>
  <c r="AB28" i="10"/>
  <c r="AA28" i="10"/>
  <c r="Z28" i="10"/>
  <c r="X28" i="10"/>
  <c r="V28" i="10"/>
  <c r="U28" i="10"/>
  <c r="T28" i="10"/>
  <c r="R28" i="10"/>
  <c r="P28" i="10"/>
  <c r="O28" i="10"/>
  <c r="N28" i="10"/>
  <c r="L28" i="10"/>
  <c r="J28" i="10"/>
  <c r="AL27" i="10"/>
  <c r="AK27" i="10"/>
  <c r="AJ27" i="10"/>
  <c r="AI27" i="10"/>
  <c r="AH27" i="10"/>
  <c r="AF27" i="10"/>
  <c r="AE27" i="10"/>
  <c r="AD27" i="10"/>
  <c r="AC27" i="10"/>
  <c r="AB27" i="10"/>
  <c r="Z27" i="10"/>
  <c r="Y27" i="10"/>
  <c r="X27" i="10"/>
  <c r="W27" i="10"/>
  <c r="V27" i="10"/>
  <c r="T27" i="10"/>
  <c r="S27" i="10"/>
  <c r="R27" i="10"/>
  <c r="Q27" i="10"/>
  <c r="P27" i="10"/>
  <c r="N27" i="10"/>
  <c r="M27" i="10"/>
  <c r="L27" i="10"/>
  <c r="K27" i="10"/>
  <c r="J27" i="10"/>
  <c r="AK26" i="10"/>
  <c r="AJ26" i="10"/>
  <c r="AI26" i="10"/>
  <c r="AH26" i="10"/>
  <c r="AE26" i="10"/>
  <c r="AD26" i="10"/>
  <c r="AC26" i="10"/>
  <c r="AB26" i="10"/>
  <c r="Y26" i="10"/>
  <c r="X26" i="10"/>
  <c r="W26" i="10"/>
  <c r="V26" i="10"/>
  <c r="S26" i="10"/>
  <c r="R26" i="10"/>
  <c r="Q26" i="10"/>
  <c r="P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J22" i="10"/>
  <c r="AH22" i="10"/>
  <c r="AG22" i="10"/>
  <c r="AF22" i="10"/>
  <c r="AD22" i="10"/>
  <c r="AB22" i="10"/>
  <c r="AA22" i="10"/>
  <c r="Z22" i="10"/>
  <c r="X22" i="10"/>
  <c r="V22" i="10"/>
  <c r="U22" i="10"/>
  <c r="T22" i="10"/>
  <c r="R22" i="10"/>
  <c r="P22" i="10"/>
  <c r="O22" i="10"/>
  <c r="N22" i="10"/>
  <c r="L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L20" i="10"/>
  <c r="AJ20" i="10"/>
  <c r="AI20" i="10"/>
  <c r="AF20" i="10"/>
  <c r="AD20" i="10"/>
  <c r="AC20" i="10"/>
  <c r="Z20" i="10"/>
  <c r="X20" i="10"/>
  <c r="W20" i="10"/>
  <c r="T20" i="10"/>
  <c r="R20" i="10"/>
  <c r="Q20" i="10"/>
  <c r="N20" i="10"/>
  <c r="L20" i="10"/>
  <c r="K20" i="10"/>
  <c r="AL19" i="10"/>
  <c r="AK19" i="10"/>
  <c r="AI19" i="10"/>
  <c r="AF19" i="10"/>
  <c r="AE19" i="10"/>
  <c r="AC19" i="10"/>
  <c r="Z19" i="10"/>
  <c r="Y19" i="10"/>
  <c r="W19" i="10"/>
  <c r="T19" i="10"/>
  <c r="S19" i="10"/>
  <c r="Q19" i="10"/>
  <c r="N19" i="10"/>
  <c r="M19" i="10"/>
  <c r="K19" i="10"/>
  <c r="AM18" i="10"/>
  <c r="AL18" i="10"/>
  <c r="AJ18" i="10"/>
  <c r="AH18" i="10"/>
  <c r="AG18" i="10"/>
  <c r="AF18" i="10"/>
  <c r="AD18" i="10"/>
  <c r="AB18" i="10"/>
  <c r="AA18" i="10"/>
  <c r="Z18" i="10"/>
  <c r="X18" i="10"/>
  <c r="V18" i="10"/>
  <c r="U18" i="10"/>
  <c r="T18" i="10"/>
  <c r="R18" i="10"/>
  <c r="P18" i="10"/>
  <c r="O18" i="10"/>
  <c r="N18" i="10"/>
  <c r="L18" i="10"/>
  <c r="J18" i="10"/>
  <c r="AL17" i="10"/>
  <c r="AK17" i="10"/>
  <c r="AJ17" i="10"/>
  <c r="AI17" i="10"/>
  <c r="AH17" i="10"/>
  <c r="AF17" i="10"/>
  <c r="AE17" i="10"/>
  <c r="AD17" i="10"/>
  <c r="AC17" i="10"/>
  <c r="AB17" i="10"/>
  <c r="Z17" i="10"/>
  <c r="Y17" i="10"/>
  <c r="X17" i="10"/>
  <c r="W17" i="10"/>
  <c r="V17" i="10"/>
  <c r="T17" i="10"/>
  <c r="S17" i="10"/>
  <c r="R17" i="10"/>
  <c r="Q17" i="10"/>
  <c r="P17" i="10"/>
  <c r="N17" i="10"/>
  <c r="M17" i="10"/>
  <c r="L17" i="10"/>
  <c r="K17" i="10"/>
  <c r="J17" i="10"/>
  <c r="AK16" i="10"/>
  <c r="AJ16" i="10"/>
  <c r="AI16" i="10"/>
  <c r="AH16" i="10"/>
  <c r="AE16" i="10"/>
  <c r="AD16" i="10"/>
  <c r="AC16" i="10"/>
  <c r="AB16" i="10"/>
  <c r="Y16" i="10"/>
  <c r="X16" i="10"/>
  <c r="W16" i="10"/>
  <c r="V16" i="10"/>
  <c r="S16" i="10"/>
  <c r="R16" i="10"/>
  <c r="Q16" i="10"/>
  <c r="P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J12" i="10"/>
  <c r="AH12" i="10"/>
  <c r="AG12" i="10"/>
  <c r="AF12" i="10"/>
  <c r="AD12" i="10"/>
  <c r="AB12" i="10"/>
  <c r="AA12" i="10"/>
  <c r="Z12" i="10"/>
  <c r="X12" i="10"/>
  <c r="V12" i="10"/>
  <c r="U12" i="10"/>
  <c r="T12" i="10"/>
  <c r="R12" i="10"/>
  <c r="P12" i="10"/>
  <c r="O12" i="10"/>
  <c r="N12" i="10"/>
  <c r="L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L10" i="10"/>
  <c r="AJ10" i="10"/>
  <c r="AI10" i="10"/>
  <c r="AF10" i="10"/>
  <c r="AD10" i="10"/>
  <c r="AC10" i="10"/>
  <c r="Z10" i="10"/>
  <c r="X10" i="10"/>
  <c r="W10" i="10"/>
  <c r="T10" i="10"/>
  <c r="R10" i="10"/>
  <c r="Q10" i="10"/>
  <c r="N10" i="10"/>
  <c r="L10" i="10"/>
  <c r="K10" i="10"/>
  <c r="AL9" i="10"/>
  <c r="AK9" i="10"/>
  <c r="AI9" i="10"/>
  <c r="AF9" i="10"/>
  <c r="AE9" i="10"/>
  <c r="AC9" i="10"/>
  <c r="Z9" i="10"/>
  <c r="Y9" i="10"/>
  <c r="W9" i="10"/>
  <c r="T9" i="10"/>
  <c r="S9" i="10"/>
  <c r="Q9" i="10"/>
  <c r="N9" i="10"/>
  <c r="M9" i="10"/>
  <c r="K9" i="10"/>
  <c r="AM8" i="10"/>
  <c r="AL8" i="10"/>
  <c r="AJ8" i="10"/>
  <c r="AH8" i="10"/>
  <c r="AG8" i="10"/>
  <c r="AF8" i="10"/>
  <c r="AD8" i="10"/>
  <c r="AB8" i="10"/>
  <c r="AA8" i="10"/>
  <c r="Z8" i="10"/>
  <c r="X8" i="10"/>
  <c r="V8" i="10"/>
  <c r="U8" i="10"/>
  <c r="T8" i="10"/>
  <c r="R8" i="10"/>
  <c r="P8" i="10"/>
  <c r="O8" i="10"/>
  <c r="N8" i="10"/>
  <c r="L8" i="10"/>
  <c r="J8" i="10"/>
  <c r="AL7" i="10"/>
  <c r="AK7" i="10"/>
  <c r="AJ7" i="10"/>
  <c r="AI7" i="10"/>
  <c r="AH7" i="10"/>
  <c r="AF7" i="10"/>
  <c r="AE7" i="10"/>
  <c r="AD7" i="10"/>
  <c r="AC7" i="10"/>
  <c r="AB7" i="10"/>
  <c r="Z7" i="10"/>
  <c r="Y7" i="10"/>
  <c r="X7" i="10"/>
  <c r="W7" i="10"/>
  <c r="V7" i="10"/>
  <c r="T7" i="10"/>
  <c r="S7" i="10"/>
  <c r="R7" i="10"/>
  <c r="Q7" i="10"/>
  <c r="P7" i="10"/>
  <c r="N7" i="10"/>
  <c r="M7" i="10"/>
  <c r="L7" i="10"/>
  <c r="K7" i="10"/>
  <c r="J7" i="10"/>
  <c r="AK6" i="10"/>
  <c r="AJ6" i="10"/>
  <c r="AI6" i="10"/>
  <c r="AH6" i="10"/>
  <c r="AE6" i="10"/>
  <c r="AD6" i="10"/>
  <c r="AC6" i="10"/>
  <c r="AB6" i="10"/>
  <c r="Y6" i="10"/>
  <c r="X6" i="10"/>
  <c r="W6" i="10"/>
  <c r="V6" i="10"/>
  <c r="S6" i="10"/>
  <c r="R6" i="10"/>
  <c r="Q6" i="10"/>
  <c r="P6" i="10"/>
  <c r="M6" i="10"/>
  <c r="L6" i="10"/>
  <c r="K6" i="10"/>
  <c r="J6" i="10"/>
  <c r="F221" i="9"/>
  <c r="F220" i="9"/>
  <c r="F219" i="9"/>
  <c r="F218" i="9"/>
  <c r="F217" i="9"/>
  <c r="F216" i="9"/>
  <c r="F215" i="9"/>
  <c r="F214" i="9"/>
  <c r="F213" i="9"/>
  <c r="F212" i="9"/>
  <c r="F211" i="9"/>
  <c r="F210" i="9"/>
  <c r="AL44" i="6"/>
  <c r="AJ44" i="6"/>
  <c r="AH44" i="6"/>
  <c r="AF44" i="6"/>
  <c r="AD44" i="6"/>
  <c r="AB44" i="6"/>
  <c r="Z44" i="6"/>
  <c r="X44" i="6"/>
  <c r="V44" i="6"/>
  <c r="T44" i="6"/>
  <c r="R44" i="6"/>
  <c r="P44" i="6"/>
  <c r="N44" i="6"/>
  <c r="L44" i="6"/>
  <c r="J44" i="6"/>
  <c r="AL42" i="6"/>
  <c r="AJ42" i="6"/>
  <c r="AH42" i="6"/>
  <c r="AF42" i="6"/>
  <c r="AD42" i="6"/>
  <c r="AB42" i="6"/>
  <c r="Z42" i="6"/>
  <c r="X42" i="6"/>
  <c r="V42" i="6"/>
  <c r="T42" i="6"/>
  <c r="R42" i="6"/>
  <c r="P42" i="6"/>
  <c r="N42" i="6"/>
  <c r="L42" i="6"/>
  <c r="J42" i="6"/>
  <c r="AL40" i="6"/>
  <c r="AF40" i="6"/>
  <c r="Z40" i="6"/>
  <c r="T40" i="6"/>
  <c r="N40" i="6"/>
  <c r="AL38" i="6"/>
  <c r="AJ38" i="6"/>
  <c r="AH38" i="6"/>
  <c r="AF38" i="6"/>
  <c r="AD38" i="6"/>
  <c r="AB38" i="6"/>
  <c r="Z38" i="6"/>
  <c r="X38" i="6"/>
  <c r="V38" i="6"/>
  <c r="T38" i="6"/>
  <c r="R38" i="6"/>
  <c r="P38" i="6"/>
  <c r="N38" i="6"/>
  <c r="L38" i="6"/>
  <c r="J38" i="6"/>
  <c r="AL36" i="6"/>
  <c r="AJ36" i="6"/>
  <c r="AH36" i="6"/>
  <c r="AF36" i="6"/>
  <c r="AD36" i="6"/>
  <c r="AB36" i="6"/>
  <c r="Z36" i="6"/>
  <c r="X36" i="6"/>
  <c r="V36" i="6"/>
  <c r="T36" i="6"/>
  <c r="R36" i="6"/>
  <c r="P36" i="6"/>
  <c r="N36" i="6"/>
  <c r="L36" i="6"/>
  <c r="J36" i="6"/>
  <c r="AL34" i="6"/>
  <c r="AJ34" i="6"/>
  <c r="AH34" i="6"/>
  <c r="AF34" i="6"/>
  <c r="AD34" i="6"/>
  <c r="AB34" i="6"/>
  <c r="Z34" i="6"/>
  <c r="X34" i="6"/>
  <c r="V34" i="6"/>
  <c r="T34" i="6"/>
  <c r="R34" i="6"/>
  <c r="P34" i="6"/>
  <c r="N34" i="6"/>
  <c r="L34" i="6"/>
  <c r="J34" i="6"/>
  <c r="AL32" i="6"/>
  <c r="AF32" i="6"/>
  <c r="Z32" i="6"/>
  <c r="T32" i="6"/>
  <c r="N32" i="6"/>
  <c r="AL30" i="6"/>
  <c r="AJ30" i="6"/>
  <c r="AH30" i="6"/>
  <c r="AF30" i="6"/>
  <c r="AD30" i="6"/>
  <c r="AB30" i="6"/>
  <c r="Z30" i="6"/>
  <c r="X30" i="6"/>
  <c r="V30" i="6"/>
  <c r="T30" i="6"/>
  <c r="R30" i="6"/>
  <c r="P30" i="6"/>
  <c r="N30" i="6"/>
  <c r="L30" i="6"/>
  <c r="J30" i="6"/>
  <c r="AL28" i="6"/>
  <c r="AJ28" i="6"/>
  <c r="AH28" i="6"/>
  <c r="AF28" i="6"/>
  <c r="AD28" i="6"/>
  <c r="AB28" i="6"/>
  <c r="Z28" i="6"/>
  <c r="X28" i="6"/>
  <c r="V28" i="6"/>
  <c r="T28" i="6"/>
  <c r="R28" i="6"/>
  <c r="P28" i="6"/>
  <c r="N28" i="6"/>
  <c r="L28" i="6"/>
  <c r="J28" i="6"/>
  <c r="AL26" i="6"/>
  <c r="AJ26" i="6"/>
  <c r="AH26" i="6"/>
  <c r="AF26" i="6"/>
  <c r="AD26" i="6"/>
  <c r="AB26" i="6"/>
  <c r="Z26" i="6"/>
  <c r="X26" i="6"/>
  <c r="V26" i="6"/>
  <c r="T26" i="6"/>
  <c r="R26" i="6"/>
  <c r="P26" i="6"/>
  <c r="N26" i="6"/>
  <c r="L26" i="6"/>
  <c r="J26" i="6"/>
  <c r="AL24" i="6"/>
  <c r="AF24" i="6"/>
  <c r="Z24" i="6"/>
  <c r="T24" i="6"/>
  <c r="N24" i="6"/>
  <c r="AL22" i="6"/>
  <c r="AJ22" i="6"/>
  <c r="AH22" i="6"/>
  <c r="AF22" i="6"/>
  <c r="AD22" i="6"/>
  <c r="AB22" i="6"/>
  <c r="Z22" i="6"/>
  <c r="X22" i="6"/>
  <c r="V22" i="6"/>
  <c r="T22" i="6"/>
  <c r="R22" i="6"/>
  <c r="P22" i="6"/>
  <c r="N22" i="6"/>
  <c r="L22" i="6"/>
  <c r="J22" i="6"/>
  <c r="AL20" i="6"/>
  <c r="AJ20" i="6"/>
  <c r="AH20" i="6"/>
  <c r="AF20" i="6"/>
  <c r="AD20" i="6"/>
  <c r="AB20" i="6"/>
  <c r="Z20" i="6"/>
  <c r="X20" i="6"/>
  <c r="V20" i="6"/>
  <c r="T20" i="6"/>
  <c r="R20" i="6"/>
  <c r="P20" i="6"/>
  <c r="N20" i="6"/>
  <c r="L20" i="6"/>
  <c r="J20" i="6"/>
  <c r="AL18" i="6"/>
  <c r="AJ18" i="6"/>
  <c r="AH18" i="6"/>
  <c r="AF18" i="6"/>
  <c r="AD18" i="6"/>
  <c r="AB18" i="6"/>
  <c r="Z18" i="6"/>
  <c r="X18" i="6"/>
  <c r="V18" i="6"/>
  <c r="T18" i="6"/>
  <c r="R18" i="6"/>
  <c r="P18" i="6"/>
  <c r="N18" i="6"/>
  <c r="L18" i="6"/>
  <c r="J18" i="6"/>
  <c r="AL16" i="6"/>
  <c r="AF16" i="6"/>
  <c r="Z16" i="6"/>
  <c r="T16" i="6"/>
  <c r="N16" i="6"/>
  <c r="AL14" i="6"/>
  <c r="AJ14" i="6"/>
  <c r="AH14" i="6"/>
  <c r="AF14" i="6"/>
  <c r="AD14" i="6"/>
  <c r="AB14" i="6"/>
  <c r="Z14" i="6"/>
  <c r="X14" i="6"/>
  <c r="V14" i="6"/>
  <c r="T14" i="6"/>
  <c r="R14" i="6"/>
  <c r="P14" i="6"/>
  <c r="N14" i="6"/>
  <c r="L14" i="6"/>
  <c r="J14" i="6"/>
  <c r="AL12" i="6"/>
  <c r="AJ12" i="6"/>
  <c r="AH12" i="6"/>
  <c r="AF12" i="6"/>
  <c r="AD12" i="6"/>
  <c r="AB12" i="6"/>
  <c r="Z12" i="6"/>
  <c r="X12" i="6"/>
  <c r="V12" i="6"/>
  <c r="T12" i="6"/>
  <c r="R12" i="6"/>
  <c r="P12" i="6"/>
  <c r="N12" i="6"/>
  <c r="L12" i="6"/>
  <c r="J12" i="6"/>
  <c r="AL10" i="6"/>
  <c r="AJ10" i="6"/>
  <c r="AH10" i="6"/>
  <c r="AF10" i="6"/>
  <c r="AD10" i="6"/>
  <c r="AB10" i="6"/>
  <c r="Z10" i="6"/>
  <c r="X10" i="6"/>
  <c r="V10" i="6"/>
  <c r="T10" i="6"/>
  <c r="R10" i="6"/>
  <c r="P10" i="6"/>
  <c r="N10" i="6"/>
  <c r="L10" i="6"/>
  <c r="J10" i="6"/>
  <c r="AL8" i="6"/>
  <c r="AF8" i="6"/>
  <c r="Z8" i="6"/>
  <c r="T8" i="6"/>
  <c r="N8" i="6"/>
  <c r="AL6" i="6"/>
  <c r="AJ6" i="6"/>
  <c r="AH6" i="6"/>
  <c r="AF6" i="6"/>
  <c r="AD6" i="6"/>
  <c r="AB6" i="6"/>
  <c r="Z6" i="6"/>
  <c r="X6" i="6"/>
  <c r="V6" i="6"/>
  <c r="T6" i="6"/>
  <c r="R6" i="6"/>
  <c r="P6" i="6"/>
  <c r="N6" i="6"/>
  <c r="L6" i="6"/>
  <c r="J6" i="6"/>
  <c r="AB37" i="2"/>
  <c r="X37" i="2"/>
  <c r="U37" i="2"/>
  <c r="K37" i="2"/>
  <c r="L37" i="2" s="1"/>
  <c r="AB36" i="2"/>
  <c r="AC36" i="2" s="1"/>
  <c r="X36" i="2"/>
  <c r="U36" i="2"/>
  <c r="L36" i="2"/>
  <c r="K36" i="2"/>
  <c r="X35" i="2"/>
  <c r="U35" i="2"/>
  <c r="L35" i="2"/>
  <c r="K35" i="2"/>
  <c r="AD34" i="2"/>
  <c r="AC34" i="2"/>
  <c r="X34" i="2"/>
  <c r="U34" i="2"/>
  <c r="X33" i="2"/>
  <c r="U33" i="2"/>
  <c r="K33" i="2"/>
  <c r="X32" i="2"/>
  <c r="U32" i="2"/>
  <c r="K32" i="2"/>
  <c r="X31" i="2"/>
  <c r="U31" i="2"/>
  <c r="K31" i="2"/>
  <c r="AB30" i="2"/>
  <c r="AC30" i="2" s="1"/>
  <c r="X30" i="2"/>
  <c r="U30" i="2"/>
  <c r="K30" i="2"/>
  <c r="L30" i="2" s="1"/>
  <c r="X29" i="2"/>
  <c r="U29" i="2"/>
  <c r="L29" i="2"/>
  <c r="AB29" i="2" s="1"/>
  <c r="K29" i="2"/>
  <c r="X28" i="2"/>
  <c r="U28" i="2"/>
  <c r="K28" i="2"/>
  <c r="L28" i="2" s="1"/>
  <c r="X27" i="2"/>
  <c r="U27" i="2"/>
  <c r="K27" i="2"/>
  <c r="L27" i="2" s="1"/>
  <c r="X26" i="2"/>
  <c r="U26" i="2"/>
  <c r="K26" i="2"/>
  <c r="X25" i="2"/>
  <c r="U25" i="2"/>
  <c r="K25" i="2"/>
  <c r="X24" i="2"/>
  <c r="U24" i="2"/>
  <c r="K24" i="2"/>
  <c r="X23" i="2"/>
  <c r="U23" i="2"/>
  <c r="K23" i="2"/>
  <c r="X22" i="2"/>
  <c r="U22" i="2"/>
  <c r="K22" i="2"/>
  <c r="X21" i="2"/>
  <c r="U21" i="2"/>
  <c r="K21" i="2"/>
  <c r="X20" i="2"/>
  <c r="U20" i="2"/>
  <c r="L20" i="2"/>
  <c r="AB20" i="2" s="1"/>
  <c r="K20" i="2"/>
  <c r="X19" i="2"/>
  <c r="U19" i="2"/>
  <c r="R19" i="2"/>
  <c r="R20" i="2" s="1"/>
  <c r="R21" i="2" s="1"/>
  <c r="R22" i="2" s="1"/>
  <c r="R23" i="2" s="1"/>
  <c r="R24" i="2" s="1"/>
  <c r="R25" i="2" s="1"/>
  <c r="R26" i="2" s="1"/>
  <c r="R27" i="2" s="1"/>
  <c r="R28" i="2" s="1"/>
  <c r="R29" i="2" s="1"/>
  <c r="R30" i="2" s="1"/>
  <c r="R31" i="2" s="1"/>
  <c r="R32" i="2" s="1"/>
  <c r="R33" i="2" s="1"/>
  <c r="R34" i="2" s="1"/>
  <c r="R35" i="2" s="1"/>
  <c r="R36" i="2" s="1"/>
  <c r="R37" i="2" s="1"/>
  <c r="K19" i="2"/>
  <c r="L19" i="2" s="1"/>
  <c r="X18" i="2"/>
  <c r="U18" i="2"/>
  <c r="K18" i="2"/>
  <c r="L18" i="2" s="1"/>
  <c r="X17" i="2"/>
  <c r="U17" i="2"/>
  <c r="K17" i="2"/>
  <c r="X16" i="2"/>
  <c r="U16" i="2"/>
  <c r="R16" i="2"/>
  <c r="R17" i="2" s="1"/>
  <c r="R18" i="2" s="1"/>
  <c r="K16" i="2"/>
  <c r="L16" i="2" s="1"/>
  <c r="X15" i="2"/>
  <c r="U15" i="2"/>
  <c r="K15" i="2"/>
  <c r="U14" i="2"/>
  <c r="P14" i="2"/>
  <c r="O14" i="2"/>
  <c r="Q14" i="2" s="1"/>
  <c r="X13" i="2"/>
  <c r="U13" i="2"/>
  <c r="K13" i="2"/>
  <c r="L13" i="2" s="1"/>
  <c r="X12" i="2"/>
  <c r="U12" i="2"/>
  <c r="R12" i="2"/>
  <c r="R13" i="2" s="1"/>
  <c r="K12" i="2"/>
  <c r="X11" i="2"/>
  <c r="U11" i="2"/>
  <c r="K11" i="2"/>
  <c r="X10" i="2"/>
  <c r="U10" i="2"/>
  <c r="R10" i="2"/>
  <c r="R11" i="2" s="1"/>
  <c r="K10" i="2"/>
  <c r="L10" i="2" s="1"/>
  <c r="AB9" i="2"/>
  <c r="AD9" i="2" s="1"/>
  <c r="X9" i="2"/>
  <c r="U9" i="2"/>
  <c r="L9" i="2"/>
  <c r="K9" i="2"/>
  <c r="X8" i="2"/>
  <c r="K8" i="2"/>
  <c r="AG24" i="1"/>
  <c r="AI24" i="1" s="1"/>
  <c r="AF24" i="1"/>
  <c r="AE24" i="1" s="1"/>
  <c r="AD24" i="1"/>
  <c r="U24" i="1"/>
  <c r="AB24" i="1" s="1"/>
  <c r="AC24" i="1" s="1"/>
  <c r="O24" i="1"/>
  <c r="P24" i="1" s="1"/>
  <c r="K24" i="1"/>
  <c r="Q24" i="1" s="1"/>
  <c r="X23" i="1"/>
  <c r="U23" i="1"/>
  <c r="K23" i="1"/>
  <c r="X22" i="1"/>
  <c r="U22" i="1"/>
  <c r="L22" i="1"/>
  <c r="K22" i="1"/>
  <c r="X21" i="1"/>
  <c r="U21" i="1"/>
  <c r="K21" i="1"/>
  <c r="L21" i="1" s="1"/>
  <c r="X20" i="1"/>
  <c r="U20" i="1"/>
  <c r="K20" i="1"/>
  <c r="X19" i="1"/>
  <c r="U19" i="1"/>
  <c r="L19" i="1"/>
  <c r="K19" i="1"/>
  <c r="X18" i="1"/>
  <c r="U18" i="1"/>
  <c r="K18" i="1"/>
  <c r="L18" i="1" s="1"/>
  <c r="X17" i="1"/>
  <c r="U17" i="1"/>
  <c r="K17" i="1"/>
  <c r="X16" i="1"/>
  <c r="U16" i="1"/>
  <c r="L16" i="1"/>
  <c r="K16" i="1"/>
  <c r="X15" i="1"/>
  <c r="U15" i="1"/>
  <c r="K15" i="1"/>
  <c r="L15" i="1" s="1"/>
  <c r="X14" i="1"/>
  <c r="U14" i="1"/>
  <c r="K14" i="1"/>
  <c r="X13" i="1"/>
  <c r="U13" i="1"/>
  <c r="L13" i="1"/>
  <c r="K13" i="1"/>
  <c r="X12" i="1"/>
  <c r="U12" i="1"/>
  <c r="K12" i="1"/>
  <c r="L12" i="1" s="1"/>
  <c r="X11" i="1"/>
  <c r="U11" i="1"/>
  <c r="K11" i="1"/>
  <c r="X10" i="1"/>
  <c r="U10" i="1"/>
  <c r="L10" i="1"/>
  <c r="K10" i="1"/>
  <c r="AC9" i="1"/>
  <c r="X9" i="1"/>
  <c r="U9" i="1"/>
  <c r="R9" i="1"/>
  <c r="R10" i="1" s="1"/>
  <c r="R11" i="1" s="1"/>
  <c r="R12" i="1" s="1"/>
  <c r="R13" i="1" s="1"/>
  <c r="R14" i="1" s="1"/>
  <c r="R15" i="1" s="1"/>
  <c r="R16" i="1" s="1"/>
  <c r="R17" i="1" s="1"/>
  <c r="R18" i="1" s="1"/>
  <c r="R19" i="1" s="1"/>
  <c r="R20" i="1" s="1"/>
  <c r="R21" i="1" s="1"/>
  <c r="R22" i="1" s="1"/>
  <c r="R23" i="1" s="1"/>
  <c r="R24" i="1" s="1"/>
  <c r="K9" i="1"/>
  <c r="L9" i="1" s="1"/>
  <c r="AB9" i="1" s="1"/>
  <c r="AD9" i="1" s="1"/>
  <c r="X8" i="1"/>
  <c r="U8" i="1"/>
  <c r="L8" i="1"/>
  <c r="AB8" i="1" s="1"/>
  <c r="K8" i="1"/>
  <c r="B223" i="9"/>
  <c r="B222" i="9"/>
  <c r="B221" i="9"/>
  <c r="H210" i="9"/>
  <c r="N32" i="2"/>
  <c r="N23" i="2"/>
  <c r="N22" i="1"/>
  <c r="N19" i="1"/>
  <c r="N27" i="2"/>
  <c r="N18" i="2"/>
  <c r="N37" i="2"/>
  <c r="N31" i="2"/>
  <c r="N22" i="2"/>
  <c r="N12" i="2"/>
  <c r="N26" i="2"/>
  <c r="N17" i="2"/>
  <c r="N36" i="2"/>
  <c r="N21" i="1"/>
  <c r="N18" i="1"/>
  <c r="N15" i="1"/>
  <c r="N12" i="1"/>
  <c r="N9" i="1"/>
  <c r="N21" i="2"/>
  <c r="N33" i="2"/>
  <c r="N24" i="2"/>
  <c r="N10" i="1"/>
  <c r="N23" i="1"/>
  <c r="N17" i="1"/>
  <c r="N35" i="2"/>
  <c r="N29" i="2"/>
  <c r="N16" i="2"/>
  <c r="N20" i="1"/>
  <c r="N14" i="1"/>
  <c r="N11" i="1"/>
  <c r="N13" i="2"/>
  <c r="N19" i="2"/>
  <c r="N34" i="2"/>
  <c r="N8" i="1"/>
  <c r="N28" i="2"/>
  <c r="N20" i="2"/>
  <c r="O20" i="2" l="1"/>
  <c r="P20" i="2" s="1"/>
  <c r="AF20" i="2" s="1"/>
  <c r="AE20" i="2" s="1"/>
  <c r="O28" i="2"/>
  <c r="O8" i="1"/>
  <c r="P8" i="1" s="1"/>
  <c r="AF8" i="1" s="1"/>
  <c r="AE8" i="1" s="1"/>
  <c r="O34" i="2"/>
  <c r="O19" i="2"/>
  <c r="O13" i="2"/>
  <c r="O11" i="1"/>
  <c r="P11" i="1" s="1"/>
  <c r="AF11" i="1" s="1"/>
  <c r="AE11" i="1" s="1"/>
  <c r="O14" i="1"/>
  <c r="P14" i="1" s="1"/>
  <c r="AF14" i="1" s="1"/>
  <c r="AE14" i="1" s="1"/>
  <c r="O20" i="1"/>
  <c r="P20" i="1" s="1"/>
  <c r="AF20" i="1" s="1"/>
  <c r="AE20" i="1" s="1"/>
  <c r="O16" i="2"/>
  <c r="P16" i="2" s="1"/>
  <c r="AF16" i="2" s="1"/>
  <c r="AE16" i="2" s="1"/>
  <c r="O29" i="2"/>
  <c r="P29" i="2" s="1"/>
  <c r="AF29" i="2" s="1"/>
  <c r="AE29" i="2" s="1"/>
  <c r="O35" i="2"/>
  <c r="P35" i="2" s="1"/>
  <c r="AF35" i="2" s="1"/>
  <c r="AE35" i="2" s="1"/>
  <c r="O17" i="1"/>
  <c r="P17" i="1" s="1"/>
  <c r="AF17" i="1" s="1"/>
  <c r="AE17" i="1" s="1"/>
  <c r="O23" i="1"/>
  <c r="P23" i="1" s="1"/>
  <c r="AF23" i="1" s="1"/>
  <c r="AE23" i="1" s="1"/>
  <c r="O10" i="1"/>
  <c r="O24" i="2"/>
  <c r="P24" i="2" s="1"/>
  <c r="O33" i="2"/>
  <c r="P33" i="2" s="1"/>
  <c r="O21" i="2"/>
  <c r="P21" i="2" s="1"/>
  <c r="O9" i="1"/>
  <c r="P9" i="1" s="1"/>
  <c r="AF9" i="1" s="1"/>
  <c r="AE9" i="1" s="1"/>
  <c r="O12" i="1"/>
  <c r="O15" i="1"/>
  <c r="P15" i="1" s="1"/>
  <c r="AF15" i="1" s="1"/>
  <c r="AE15" i="1" s="1"/>
  <c r="O18" i="1"/>
  <c r="P18" i="1" s="1"/>
  <c r="AF18" i="1" s="1"/>
  <c r="AE18" i="1" s="1"/>
  <c r="O21" i="1"/>
  <c r="P21" i="1" s="1"/>
  <c r="AF21" i="1" s="1"/>
  <c r="AE21" i="1" s="1"/>
  <c r="O36" i="2"/>
  <c r="P36" i="2" s="1"/>
  <c r="AF36" i="2" s="1"/>
  <c r="AE36" i="2" s="1"/>
  <c r="AG36" i="2" s="1"/>
  <c r="AI36" i="2" s="1"/>
  <c r="O17" i="2"/>
  <c r="P17" i="2" s="1"/>
  <c r="AF17" i="2" s="1"/>
  <c r="AE17" i="2" s="1"/>
  <c r="O26" i="2"/>
  <c r="P26" i="2" s="1"/>
  <c r="AF26" i="2" s="1"/>
  <c r="AE26" i="2" s="1"/>
  <c r="O12" i="2"/>
  <c r="P12" i="2" s="1"/>
  <c r="O22" i="2"/>
  <c r="P22" i="2" s="1"/>
  <c r="O31" i="2"/>
  <c r="P31" i="2" s="1"/>
  <c r="O37" i="2"/>
  <c r="P37" i="2" s="1"/>
  <c r="O18" i="2"/>
  <c r="O27" i="2"/>
  <c r="O19" i="1"/>
  <c r="O22" i="1"/>
  <c r="O23" i="2"/>
  <c r="P23" i="2" s="1"/>
  <c r="O32" i="2"/>
  <c r="P32" i="2" s="1"/>
  <c r="AF32" i="2" s="1"/>
  <c r="AE32" i="2" s="1"/>
  <c r="N13" i="1"/>
  <c r="O13" i="1" s="1"/>
  <c r="AB40" i="6" s="1"/>
  <c r="N16" i="1"/>
  <c r="O16" i="1" s="1"/>
  <c r="N9" i="2"/>
  <c r="O9" i="2" s="1"/>
  <c r="N30" i="2"/>
  <c r="O30" i="2" s="1"/>
  <c r="N8" i="2"/>
  <c r="O8" i="2" s="1"/>
  <c r="P8" i="2" s="1"/>
  <c r="AF8" i="2" s="1"/>
  <c r="AE8" i="2" s="1"/>
  <c r="N25" i="2"/>
  <c r="O25" i="2" s="1"/>
  <c r="P25" i="2" s="1"/>
  <c r="AF25" i="2" s="1"/>
  <c r="AE25" i="2" s="1"/>
  <c r="N11" i="2"/>
  <c r="O11" i="2" s="1"/>
  <c r="P11" i="2" s="1"/>
  <c r="AF11" i="2" s="1"/>
  <c r="AE11" i="2" s="1"/>
  <c r="N10" i="2"/>
  <c r="O10" i="2" s="1"/>
  <c r="N15" i="2"/>
  <c r="O15" i="2" s="1"/>
  <c r="P15" i="2" s="1"/>
  <c r="AD8" i="1"/>
  <c r="AC8" i="1"/>
  <c r="AB12" i="1"/>
  <c r="AB13" i="1"/>
  <c r="AB16" i="1"/>
  <c r="AB19" i="1"/>
  <c r="AB22" i="1"/>
  <c r="AB18" i="2"/>
  <c r="L24" i="2"/>
  <c r="AB24" i="2" s="1"/>
  <c r="Q24" i="2"/>
  <c r="AB18" i="1"/>
  <c r="AB21" i="1"/>
  <c r="AD37" i="2"/>
  <c r="AC37" i="2"/>
  <c r="AG46" i="10"/>
  <c r="U46" i="10"/>
  <c r="AG36" i="10"/>
  <c r="U36" i="10"/>
  <c r="AG26" i="10"/>
  <c r="U26" i="10"/>
  <c r="AG16" i="10"/>
  <c r="U16" i="10"/>
  <c r="AG6" i="10"/>
  <c r="U6" i="10"/>
  <c r="AM46" i="10"/>
  <c r="AA46" i="10"/>
  <c r="O46" i="10"/>
  <c r="AM36" i="10"/>
  <c r="AA36" i="10"/>
  <c r="O36" i="10"/>
  <c r="AM26" i="10"/>
  <c r="AA26" i="10"/>
  <c r="O26" i="10"/>
  <c r="AM16" i="10"/>
  <c r="AA16" i="10"/>
  <c r="O16" i="10"/>
  <c r="AM6" i="10"/>
  <c r="AA6" i="10"/>
  <c r="O6" i="10"/>
  <c r="AG9" i="1"/>
  <c r="AI9" i="1" s="1"/>
  <c r="Q21" i="1"/>
  <c r="Q11" i="1"/>
  <c r="L11" i="1"/>
  <c r="AB11" i="1" s="1"/>
  <c r="AB15" i="1"/>
  <c r="Q22" i="2"/>
  <c r="Q15" i="1"/>
  <c r="Q18" i="1"/>
  <c r="Q14" i="1"/>
  <c r="L14" i="1"/>
  <c r="AB14" i="1" s="1"/>
  <c r="Q17" i="1"/>
  <c r="L17" i="1"/>
  <c r="AB17" i="1" s="1"/>
  <c r="Q20" i="1"/>
  <c r="L20" i="1"/>
  <c r="AB20" i="1" s="1"/>
  <c r="Q23" i="1"/>
  <c r="L23" i="1"/>
  <c r="AB23" i="1" s="1"/>
  <c r="Q12" i="2"/>
  <c r="AF12" i="2"/>
  <c r="AE12" i="2" s="1"/>
  <c r="AD30" i="2"/>
  <c r="L33" i="2"/>
  <c r="AB33" i="2" s="1"/>
  <c r="Q33" i="2"/>
  <c r="Q11" i="2"/>
  <c r="L21" i="2"/>
  <c r="AB21" i="2" s="1"/>
  <c r="Q21" i="2"/>
  <c r="Q25" i="2"/>
  <c r="AD29" i="2"/>
  <c r="AC29" i="2"/>
  <c r="AG29" i="2" s="1"/>
  <c r="AI29" i="2" s="1"/>
  <c r="Q35" i="2"/>
  <c r="L11" i="2"/>
  <c r="L25" i="2"/>
  <c r="Q31" i="2"/>
  <c r="AD36" i="2"/>
  <c r="AF14" i="2"/>
  <c r="AE14" i="2" s="1"/>
  <c r="AB27" i="2"/>
  <c r="Q16" i="2"/>
  <c r="AJ32" i="6"/>
  <c r="Q8" i="2"/>
  <c r="Q8" i="1"/>
  <c r="Q9" i="1"/>
  <c r="AB10" i="1"/>
  <c r="AC9" i="2"/>
  <c r="AB11" i="2"/>
  <c r="Q15" i="2"/>
  <c r="L15" i="2"/>
  <c r="AB15" i="2" s="1"/>
  <c r="AD20" i="2"/>
  <c r="AC20" i="2"/>
  <c r="AG20" i="2" s="1"/>
  <c r="AI20" i="2" s="1"/>
  <c r="AF23" i="2"/>
  <c r="AE23" i="2" s="1"/>
  <c r="AB23" i="2"/>
  <c r="Q20" i="2"/>
  <c r="Q29" i="2"/>
  <c r="AF37" i="2"/>
  <c r="AE37" i="2" s="1"/>
  <c r="L24" i="6"/>
  <c r="Q17" i="2"/>
  <c r="AB19" i="2"/>
  <c r="Q26" i="2"/>
  <c r="AB28" i="2"/>
  <c r="L8" i="2"/>
  <c r="AB8" i="2" s="1"/>
  <c r="AB14" i="2"/>
  <c r="AF15" i="2"/>
  <c r="AE15" i="2" s="1"/>
  <c r="L17" i="2"/>
  <c r="AB17" i="2" s="1"/>
  <c r="AF22" i="2"/>
  <c r="AE22" i="2" s="1"/>
  <c r="AF24" i="2"/>
  <c r="AE24" i="2" s="1"/>
  <c r="L26" i="2"/>
  <c r="AB26" i="2" s="1"/>
  <c r="AF31" i="2"/>
  <c r="AE31" i="2" s="1"/>
  <c r="AF33" i="2"/>
  <c r="AE33" i="2" s="1"/>
  <c r="L40" i="6"/>
  <c r="AB10" i="2"/>
  <c r="L12" i="2"/>
  <c r="AB12" i="2" s="1"/>
  <c r="AB13" i="2"/>
  <c r="L22" i="2"/>
  <c r="AB22" i="2" s="1"/>
  <c r="L31" i="2"/>
  <c r="AB31" i="2" s="1"/>
  <c r="R24" i="6"/>
  <c r="X40" i="6"/>
  <c r="X32" i="6"/>
  <c r="X24" i="6"/>
  <c r="X16" i="6"/>
  <c r="AB35" i="2"/>
  <c r="AD8" i="6"/>
  <c r="AB16" i="2"/>
  <c r="Q23" i="2"/>
  <c r="AB25" i="2"/>
  <c r="L16" i="6"/>
  <c r="R40" i="6"/>
  <c r="AF21" i="2"/>
  <c r="AE21" i="2" s="1"/>
  <c r="L23" i="2"/>
  <c r="L32" i="2"/>
  <c r="AB32" i="2" s="1"/>
  <c r="AJ8" i="6"/>
  <c r="AD24" i="6"/>
  <c r="Q37" i="2"/>
  <c r="L32" i="6"/>
  <c r="AD22" i="2" l="1"/>
  <c r="AC22" i="2"/>
  <c r="AG22" i="2" s="1"/>
  <c r="AI22" i="2" s="1"/>
  <c r="AD31" i="2"/>
  <c r="AC31" i="2"/>
  <c r="AG31" i="2" s="1"/>
  <c r="AI31" i="2" s="1"/>
  <c r="AD32" i="2"/>
  <c r="AC32" i="2"/>
  <c r="AG32" i="2" s="1"/>
  <c r="AI32" i="2" s="1"/>
  <c r="AB32" i="6"/>
  <c r="P32" i="6"/>
  <c r="J16" i="6"/>
  <c r="AD12" i="2"/>
  <c r="AC12" i="2"/>
  <c r="AG12" i="2" s="1"/>
  <c r="AI12" i="2" s="1"/>
  <c r="AC8" i="2"/>
  <c r="AG8" i="2" s="1"/>
  <c r="AI8" i="2" s="1"/>
  <c r="AD8" i="2"/>
  <c r="AF46" i="10"/>
  <c r="T46" i="10"/>
  <c r="AF36" i="10"/>
  <c r="T36" i="10"/>
  <c r="AF26" i="10"/>
  <c r="T26" i="10"/>
  <c r="AF16" i="10"/>
  <c r="T16" i="10"/>
  <c r="AF6" i="10"/>
  <c r="T6" i="10"/>
  <c r="AL46" i="10"/>
  <c r="Z46" i="10"/>
  <c r="N46" i="10"/>
  <c r="AL36" i="10"/>
  <c r="Z36" i="10"/>
  <c r="N36" i="10"/>
  <c r="AL26" i="10"/>
  <c r="Z26" i="10"/>
  <c r="N26" i="10"/>
  <c r="AL16" i="10"/>
  <c r="Z16" i="10"/>
  <c r="N16" i="10"/>
  <c r="AL6" i="10"/>
  <c r="Z6" i="10"/>
  <c r="N6" i="10"/>
  <c r="AG8" i="1"/>
  <c r="AI8" i="1" s="1"/>
  <c r="AD12" i="1"/>
  <c r="AC12" i="1"/>
  <c r="AH8" i="6"/>
  <c r="AD14" i="1"/>
  <c r="AC14" i="1"/>
  <c r="AG37" i="2"/>
  <c r="AI37" i="2" s="1"/>
  <c r="V8" i="6"/>
  <c r="AH16" i="6"/>
  <c r="AD10" i="2"/>
  <c r="AC10" i="2"/>
  <c r="AD28" i="2"/>
  <c r="AC28" i="2"/>
  <c r="AD23" i="2"/>
  <c r="AC23" i="2"/>
  <c r="AG23" i="2" s="1"/>
  <c r="AI23" i="2" s="1"/>
  <c r="AD21" i="1"/>
  <c r="AC21" i="1"/>
  <c r="AG21" i="1" s="1"/>
  <c r="AI21" i="1" s="1"/>
  <c r="Q22" i="1"/>
  <c r="P22" i="1"/>
  <c r="AF22" i="1" s="1"/>
  <c r="AE22" i="1" s="1"/>
  <c r="AD11" i="2"/>
  <c r="AC11" i="2"/>
  <c r="AG11" i="2" s="1"/>
  <c r="AI11" i="2" s="1"/>
  <c r="AD13" i="2"/>
  <c r="AC13" i="2"/>
  <c r="AB8" i="6"/>
  <c r="AD18" i="1"/>
  <c r="AC18" i="1"/>
  <c r="Q19" i="1"/>
  <c r="P19" i="1"/>
  <c r="AF19" i="1" s="1"/>
  <c r="AE19" i="1" s="1"/>
  <c r="AB24" i="6"/>
  <c r="J24" i="6"/>
  <c r="AC25" i="2"/>
  <c r="AG25" i="2" s="1"/>
  <c r="AI25" i="2" s="1"/>
  <c r="AD25" i="2"/>
  <c r="V24" i="6"/>
  <c r="AH24" i="6"/>
  <c r="P24" i="6"/>
  <c r="AD19" i="2"/>
  <c r="AC19" i="2"/>
  <c r="Q10" i="2"/>
  <c r="P10" i="2"/>
  <c r="AF10" i="2" s="1"/>
  <c r="AE10" i="2" s="1"/>
  <c r="P27" i="2"/>
  <c r="AF27" i="2" s="1"/>
  <c r="AE27" i="2" s="1"/>
  <c r="Q27" i="2"/>
  <c r="P12" i="1"/>
  <c r="AF12" i="1" s="1"/>
  <c r="AE12" i="1" s="1"/>
  <c r="Q12" i="1"/>
  <c r="AD20" i="1"/>
  <c r="AC20" i="1"/>
  <c r="V16" i="6"/>
  <c r="V32" i="6"/>
  <c r="J32" i="6"/>
  <c r="AD27" i="2"/>
  <c r="AC27" i="2"/>
  <c r="AG27" i="2" s="1"/>
  <c r="AI27" i="2" s="1"/>
  <c r="AD15" i="1"/>
  <c r="AC15" i="1"/>
  <c r="AD24" i="2"/>
  <c r="AC24" i="2"/>
  <c r="AG24" i="2" s="1"/>
  <c r="AI24" i="2" s="1"/>
  <c r="P18" i="2"/>
  <c r="AF18" i="2" s="1"/>
  <c r="AE18" i="2" s="1"/>
  <c r="Q18" i="2"/>
  <c r="AD35" i="2"/>
  <c r="AC35" i="2"/>
  <c r="AG35" i="2" s="1"/>
  <c r="AI35" i="2" s="1"/>
  <c r="J8" i="6"/>
  <c r="AD14" i="2"/>
  <c r="AC14" i="2"/>
  <c r="AG14" i="2" s="1"/>
  <c r="Q32" i="2"/>
  <c r="AC16" i="2"/>
  <c r="AG16" i="2" s="1"/>
  <c r="AI16" i="2" s="1"/>
  <c r="AD16" i="2"/>
  <c r="V40" i="6"/>
  <c r="AH32" i="6"/>
  <c r="AD15" i="2"/>
  <c r="AC15" i="2"/>
  <c r="AG15" i="2" s="1"/>
  <c r="AI15" i="2" s="1"/>
  <c r="AC21" i="2"/>
  <c r="AG21" i="2" s="1"/>
  <c r="AI21" i="2" s="1"/>
  <c r="AD21" i="2"/>
  <c r="AD23" i="1"/>
  <c r="AC23" i="1"/>
  <c r="AG23" i="1" s="1"/>
  <c r="AI23" i="1" s="1"/>
  <c r="AD11" i="1"/>
  <c r="AC11" i="1"/>
  <c r="AD18" i="2"/>
  <c r="AC18" i="2"/>
  <c r="Q13" i="2"/>
  <c r="P13" i="2"/>
  <c r="AF13" i="2" s="1"/>
  <c r="AE13" i="2" s="1"/>
  <c r="AD19" i="1"/>
  <c r="AC19" i="1"/>
  <c r="P16" i="6"/>
  <c r="P40" i="6"/>
  <c r="AB16" i="6"/>
  <c r="J40" i="6"/>
  <c r="AD26" i="2"/>
  <c r="AC26" i="2"/>
  <c r="AG26" i="2" s="1"/>
  <c r="AI26" i="2" s="1"/>
  <c r="Q36" i="2"/>
  <c r="AD22" i="1"/>
  <c r="AC22" i="1"/>
  <c r="AG22" i="1" s="1"/>
  <c r="AI22" i="1" s="1"/>
  <c r="Q19" i="2"/>
  <c r="P19" i="2"/>
  <c r="AF19" i="2" s="1"/>
  <c r="AE19" i="2" s="1"/>
  <c r="Q30" i="2"/>
  <c r="P30" i="2"/>
  <c r="AF30" i="2" s="1"/>
  <c r="AE30" i="2" s="1"/>
  <c r="AG30" i="2" s="1"/>
  <c r="AI30" i="2" s="1"/>
  <c r="Q34" i="2"/>
  <c r="P34" i="2"/>
  <c r="AF34" i="2" s="1"/>
  <c r="AE34" i="2" s="1"/>
  <c r="AG34" i="2" s="1"/>
  <c r="P9" i="2"/>
  <c r="AF9" i="2" s="1"/>
  <c r="AE9" i="2" s="1"/>
  <c r="AG9" i="2" s="1"/>
  <c r="AI9" i="2" s="1"/>
  <c r="Q9" i="2"/>
  <c r="Q10" i="1"/>
  <c r="P10" i="1"/>
  <c r="AF10" i="1" s="1"/>
  <c r="AE10" i="1" s="1"/>
  <c r="AH40" i="6"/>
  <c r="AD16" i="1"/>
  <c r="AC16" i="1"/>
  <c r="AD17" i="2"/>
  <c r="AC17" i="2"/>
  <c r="AG17" i="2" s="1"/>
  <c r="AI17" i="2" s="1"/>
  <c r="AD10" i="1"/>
  <c r="AC10" i="1"/>
  <c r="AD33" i="2"/>
  <c r="AC33" i="2"/>
  <c r="AG33" i="2" s="1"/>
  <c r="AI33" i="2" s="1"/>
  <c r="AD17" i="1"/>
  <c r="AC17" i="1"/>
  <c r="AD13" i="1"/>
  <c r="AC13" i="1"/>
  <c r="AD32" i="6"/>
  <c r="AJ16" i="6"/>
  <c r="X8" i="6"/>
  <c r="Q16" i="1"/>
  <c r="R8" i="6"/>
  <c r="R32" i="6"/>
  <c r="AJ24" i="6"/>
  <c r="L8" i="6"/>
  <c r="AD16" i="6"/>
  <c r="AJ40" i="6"/>
  <c r="AD40" i="6"/>
  <c r="R16" i="6"/>
  <c r="P16" i="1"/>
  <c r="AF16" i="1" s="1"/>
  <c r="AE16" i="1" s="1"/>
  <c r="Q28" i="2"/>
  <c r="P28" i="2"/>
  <c r="AF28" i="2" s="1"/>
  <c r="AE28" i="2" s="1"/>
  <c r="Q13" i="1"/>
  <c r="P13" i="1"/>
  <c r="AF13" i="1" s="1"/>
  <c r="AE13" i="1" s="1"/>
  <c r="P8" i="6"/>
  <c r="AC52" i="10" l="1"/>
  <c r="Q52" i="10"/>
  <c r="AC42" i="10"/>
  <c r="Q42" i="10"/>
  <c r="AC32" i="10"/>
  <c r="Q32" i="10"/>
  <c r="AC22" i="10"/>
  <c r="Q22" i="10"/>
  <c r="AC12" i="10"/>
  <c r="Q12" i="10"/>
  <c r="AI52" i="10"/>
  <c r="W52" i="10"/>
  <c r="K52" i="10"/>
  <c r="AI42" i="10"/>
  <c r="W42" i="10"/>
  <c r="K42" i="10"/>
  <c r="AI22" i="10"/>
  <c r="AG19" i="1"/>
  <c r="AI19" i="1" s="1"/>
  <c r="K12" i="10"/>
  <c r="K32" i="10"/>
  <c r="W12" i="10"/>
  <c r="W32" i="10"/>
  <c r="AI12" i="10"/>
  <c r="AI32" i="10"/>
  <c r="K22" i="10"/>
  <c r="W22" i="10"/>
  <c r="AB50" i="10"/>
  <c r="P50" i="10"/>
  <c r="AB40" i="10"/>
  <c r="P40" i="10"/>
  <c r="AB30" i="10"/>
  <c r="P30" i="10"/>
  <c r="AB20" i="10"/>
  <c r="P20" i="10"/>
  <c r="AB10" i="10"/>
  <c r="P10" i="10"/>
  <c r="V30" i="10"/>
  <c r="J20" i="10"/>
  <c r="AG16" i="1"/>
  <c r="AI16" i="1" s="1"/>
  <c r="AH40" i="10"/>
  <c r="AH10" i="10"/>
  <c r="AH50" i="10"/>
  <c r="AH30" i="10"/>
  <c r="V20" i="10"/>
  <c r="J40" i="10"/>
  <c r="J10" i="10"/>
  <c r="J50" i="10"/>
  <c r="J30" i="10"/>
  <c r="V40" i="10"/>
  <c r="V10" i="10"/>
  <c r="AH20" i="10"/>
  <c r="V50" i="10"/>
  <c r="AJ49" i="10"/>
  <c r="X49" i="10"/>
  <c r="L49" i="10"/>
  <c r="AJ39" i="10"/>
  <c r="X39" i="10"/>
  <c r="L39" i="10"/>
  <c r="AJ29" i="10"/>
  <c r="X29" i="10"/>
  <c r="L29" i="10"/>
  <c r="AJ19" i="10"/>
  <c r="X19" i="10"/>
  <c r="L19" i="10"/>
  <c r="AJ9" i="10"/>
  <c r="X9" i="10"/>
  <c r="L9" i="10"/>
  <c r="AD39" i="10"/>
  <c r="AD9" i="10"/>
  <c r="AD49" i="10"/>
  <c r="AD29" i="10"/>
  <c r="R19" i="10"/>
  <c r="AD19" i="10"/>
  <c r="R39" i="10"/>
  <c r="R9" i="10"/>
  <c r="R49" i="10"/>
  <c r="R29" i="10"/>
  <c r="AG14" i="1"/>
  <c r="AI14" i="1" s="1"/>
  <c r="AE52" i="10"/>
  <c r="S52" i="10"/>
  <c r="AE42" i="10"/>
  <c r="S42" i="10"/>
  <c r="AE32" i="10"/>
  <c r="S32" i="10"/>
  <c r="AE22" i="10"/>
  <c r="S22" i="10"/>
  <c r="AE12" i="10"/>
  <c r="S12" i="10"/>
  <c r="M12" i="10"/>
  <c r="M42" i="10"/>
  <c r="M52" i="10"/>
  <c r="M32" i="10"/>
  <c r="Y12" i="10"/>
  <c r="Y42" i="10"/>
  <c r="Y32" i="10"/>
  <c r="AK12" i="10"/>
  <c r="Y52" i="10"/>
  <c r="AK32" i="10"/>
  <c r="AK42" i="10"/>
  <c r="M22" i="10"/>
  <c r="AK52" i="10"/>
  <c r="Y22" i="10"/>
  <c r="AK22" i="10"/>
  <c r="AG20" i="1"/>
  <c r="AI20" i="1" s="1"/>
  <c r="AH49" i="10"/>
  <c r="V49" i="10"/>
  <c r="J49" i="10"/>
  <c r="AH39" i="10"/>
  <c r="V39" i="10"/>
  <c r="J39" i="10"/>
  <c r="AH29" i="10"/>
  <c r="V29" i="10"/>
  <c r="J29" i="10"/>
  <c r="AH19" i="10"/>
  <c r="V19" i="10"/>
  <c r="J19" i="10"/>
  <c r="AH9" i="10"/>
  <c r="V9" i="10"/>
  <c r="J9" i="10"/>
  <c r="P29" i="10"/>
  <c r="AG13" i="1"/>
  <c r="AI13" i="1" s="1"/>
  <c r="AB39" i="10"/>
  <c r="AB9" i="10"/>
  <c r="AB49" i="10"/>
  <c r="AB29" i="10"/>
  <c r="P19" i="10"/>
  <c r="P39" i="10"/>
  <c r="P9" i="10"/>
  <c r="P49" i="10"/>
  <c r="AB19" i="10"/>
  <c r="AG18" i="2"/>
  <c r="AI18" i="2" s="1"/>
  <c r="AM49" i="10"/>
  <c r="AA49" i="10"/>
  <c r="O49" i="10"/>
  <c r="AM39" i="10"/>
  <c r="AA39" i="10"/>
  <c r="O39" i="10"/>
  <c r="AM29" i="10"/>
  <c r="AA29" i="10"/>
  <c r="O29" i="10"/>
  <c r="AM19" i="10"/>
  <c r="AA19" i="10"/>
  <c r="O19" i="10"/>
  <c r="AM9" i="10"/>
  <c r="AA9" i="10"/>
  <c r="O9" i="10"/>
  <c r="AG49" i="10"/>
  <c r="U49" i="10"/>
  <c r="AG39" i="10"/>
  <c r="U39" i="10"/>
  <c r="AG29" i="10"/>
  <c r="U29" i="10"/>
  <c r="AG19" i="10"/>
  <c r="U19" i="10"/>
  <c r="AG9" i="10"/>
  <c r="U9" i="10"/>
  <c r="AG15" i="1"/>
  <c r="AI15" i="1" s="1"/>
  <c r="AC48" i="10"/>
  <c r="Q48" i="10"/>
  <c r="AC38" i="10"/>
  <c r="Q38" i="10"/>
  <c r="AC28" i="10"/>
  <c r="Q28" i="10"/>
  <c r="AC18" i="10"/>
  <c r="Q18" i="10"/>
  <c r="AC8" i="10"/>
  <c r="Q8" i="10"/>
  <c r="AI48" i="10"/>
  <c r="W48" i="10"/>
  <c r="K48" i="10"/>
  <c r="AI38" i="10"/>
  <c r="W38" i="10"/>
  <c r="K38" i="10"/>
  <c r="AI18" i="10"/>
  <c r="K8" i="10"/>
  <c r="K28" i="10"/>
  <c r="W8" i="10"/>
  <c r="W28" i="10"/>
  <c r="AI8" i="10"/>
  <c r="AI28" i="10"/>
  <c r="K18" i="10"/>
  <c r="W18" i="10"/>
  <c r="AG11" i="1"/>
  <c r="AI11" i="1" s="1"/>
  <c r="AE48" i="10"/>
  <c r="S48" i="10"/>
  <c r="AE38" i="10"/>
  <c r="S38" i="10"/>
  <c r="AE28" i="10"/>
  <c r="S28" i="10"/>
  <c r="AE18" i="10"/>
  <c r="S18" i="10"/>
  <c r="AE8" i="10"/>
  <c r="S8" i="10"/>
  <c r="M8" i="10"/>
  <c r="Y38" i="10"/>
  <c r="Y48" i="10"/>
  <c r="M28" i="10"/>
  <c r="Y8" i="10"/>
  <c r="AK38" i="10"/>
  <c r="Y28" i="10"/>
  <c r="AK8" i="10"/>
  <c r="AK48" i="10"/>
  <c r="AG12" i="1"/>
  <c r="AI12" i="1" s="1"/>
  <c r="AK28" i="10"/>
  <c r="M18" i="10"/>
  <c r="M38" i="10"/>
  <c r="Y18" i="10"/>
  <c r="M48" i="10"/>
  <c r="AK18" i="10"/>
  <c r="AG50" i="10"/>
  <c r="U50" i="10"/>
  <c r="AG40" i="10"/>
  <c r="U40" i="10"/>
  <c r="AG30" i="10"/>
  <c r="U30" i="10"/>
  <c r="AG20" i="10"/>
  <c r="U20" i="10"/>
  <c r="AG10" i="10"/>
  <c r="U10" i="10"/>
  <c r="AM50" i="10"/>
  <c r="AA50" i="10"/>
  <c r="O50" i="10"/>
  <c r="AM40" i="10"/>
  <c r="AA40" i="10"/>
  <c r="O40" i="10"/>
  <c r="AM30" i="10"/>
  <c r="AA30" i="10"/>
  <c r="O30" i="10"/>
  <c r="AM20" i="10"/>
  <c r="AA20" i="10"/>
  <c r="O20" i="10"/>
  <c r="AM10" i="10"/>
  <c r="AA10" i="10"/>
  <c r="O10" i="10"/>
  <c r="AG18" i="1"/>
  <c r="AI18" i="1" s="1"/>
  <c r="AG19" i="2"/>
  <c r="AI19" i="2" s="1"/>
  <c r="AG28" i="2"/>
  <c r="AI28" i="2" s="1"/>
  <c r="AE50" i="10"/>
  <c r="S50" i="10"/>
  <c r="AE40" i="10"/>
  <c r="S40" i="10"/>
  <c r="AE30" i="10"/>
  <c r="S30" i="10"/>
  <c r="AE20" i="10"/>
  <c r="S20" i="10"/>
  <c r="AE10" i="10"/>
  <c r="S10" i="10"/>
  <c r="AK50" i="10"/>
  <c r="AK30" i="10"/>
  <c r="Y20" i="10"/>
  <c r="M40" i="10"/>
  <c r="M10" i="10"/>
  <c r="M50" i="10"/>
  <c r="M30" i="10"/>
  <c r="AK20" i="10"/>
  <c r="Y40" i="10"/>
  <c r="Y10" i="10"/>
  <c r="Y50" i="10"/>
  <c r="Y30" i="10"/>
  <c r="M20" i="10"/>
  <c r="AK10" i="10"/>
  <c r="AK40" i="10"/>
  <c r="AG17" i="1"/>
  <c r="AI17" i="1" s="1"/>
  <c r="AM47" i="10"/>
  <c r="AA47" i="10"/>
  <c r="O47" i="10"/>
  <c r="AM37" i="10"/>
  <c r="AA37" i="10"/>
  <c r="O37" i="10"/>
  <c r="AM27" i="10"/>
  <c r="AA27" i="10"/>
  <c r="O27" i="10"/>
  <c r="AM17" i="10"/>
  <c r="AA17" i="10"/>
  <c r="O17" i="10"/>
  <c r="AM7" i="10"/>
  <c r="AA7" i="10"/>
  <c r="O7" i="10"/>
  <c r="AG47" i="10"/>
  <c r="U47" i="10"/>
  <c r="AG37" i="10"/>
  <c r="U37" i="10"/>
  <c r="AG27" i="10"/>
  <c r="U27" i="10"/>
  <c r="AG17" i="10"/>
  <c r="U17" i="10"/>
  <c r="AG7" i="10"/>
  <c r="U7" i="10"/>
  <c r="AG10" i="1"/>
  <c r="AI10" i="1" s="1"/>
  <c r="AG13" i="2"/>
  <c r="AI13" i="2" s="1"/>
  <c r="AG10" i="2"/>
  <c r="AI10" i="2" s="1"/>
</calcChain>
</file>

<file path=xl/comments1.xml><?xml version="1.0" encoding="utf-8"?>
<comments xmlns="http://schemas.openxmlformats.org/spreadsheetml/2006/main">
  <authors>
    <author/>
  </authors>
  <commentList>
    <comment ref="S20" authorId="0" shapeId="0">
      <text>
        <r>
          <rPr>
            <sz val="11"/>
            <color theme="1"/>
            <rFont val="Calibri"/>
            <scheme val="minor"/>
          </rPr>
          <t>======
ID#AAABY-TdNS8
Claudia Cristina Castillo Iregui    (2024-11-19 21:59:21)
No son claros los controles ni las evidencias que aportarían de cada uno.</t>
        </r>
      </text>
    </comment>
    <comment ref="J21" authorId="0" shapeId="0">
      <text>
        <r>
          <rPr>
            <sz val="11"/>
            <color theme="1"/>
            <rFont val="Calibri"/>
            <scheme val="minor"/>
          </rPr>
          <t>======
ID#AAABT22JyCo
Claudia Cristina Castillo Iregui    (2024-10-21 17:04:55)
957 activos fijos de mayor cuantía.</t>
        </r>
      </text>
    </comment>
  </commentList>
  <extLst>
    <ext xmlns:r="http://schemas.openxmlformats.org/officeDocument/2006/relationships" uri="GoogleSheetsCustomDataVersion2">
      <go:sheetsCustomData xmlns:go="http://customooxmlschemas.google.com/" r:id="rId1" roundtripDataSignature="AMtx7miR03QFNrHw8ghdKEO96xAbhIfprQ=="/>
    </ext>
  </extLst>
</comments>
</file>

<file path=xl/comments2.xml><?xml version="1.0" encoding="utf-8"?>
<comments xmlns="http://schemas.openxmlformats.org/spreadsheetml/2006/main">
  <authors>
    <author/>
  </authors>
  <commentList>
    <comment ref="J15" authorId="0" shapeId="0">
      <text>
        <r>
          <rPr>
            <sz val="11"/>
            <color theme="1"/>
            <rFont val="Calibri"/>
            <scheme val="minor"/>
          </rPr>
          <t>======
ID#AAABbtZT1Qc
AleyCla    (2025-01-27 16:55:15)
datos 2024 de trámites, conceptos = 8.639 más lo pertinente a 236 actividades de los demás temas que trabaja el proceso (2oo asesoría a entes territoriales y 12x3 de una actividad por mes de las otras tres grandes actividades.</t>
        </r>
      </text>
    </comment>
    <comment ref="J27" authorId="0" shapeId="0">
      <text>
        <r>
          <rPr>
            <sz val="11"/>
            <color theme="1"/>
            <rFont val="Calibri"/>
            <scheme val="minor"/>
          </rPr>
          <t>======
ID#AAABbGt_NLk
Claudia Cristina Castillo Iregui    (2024-12-30 15:41:11)
Número de veces de pago de impuestos, vehículos y servicios públicos.</t>
        </r>
      </text>
    </comment>
    <comment ref="J31" authorId="0" shapeId="0">
      <text>
        <r>
          <rPr>
            <sz val="11"/>
            <color theme="1"/>
            <rFont val="Calibri"/>
            <scheme val="minor"/>
          </rPr>
          <t>======
ID#AAABbGt_NLg
Claudia Cristina Castillo Iregui    (2024-12-30 15:41:11)
Actividades mínimas a realizar en la vigencia establecidas en el plan de trabajo.</t>
        </r>
      </text>
    </comment>
    <comment ref="J36" authorId="0" shapeId="0">
      <text>
        <r>
          <rPr>
            <sz val="11"/>
            <color theme="1"/>
            <rFont val="Calibri"/>
            <scheme val="minor"/>
          </rPr>
          <t>======
ID#AAABT22JyCk
Claudia Cristina Castillo Iregui    (2024-10-21 17:04:55)
Activos fijos de mayor cuantía.</t>
        </r>
      </text>
    </comment>
  </commentList>
  <extLst>
    <ext xmlns:r="http://schemas.openxmlformats.org/officeDocument/2006/relationships" uri="GoogleSheetsCustomDataVersion2">
      <go:sheetsCustomData xmlns:go="http://customooxmlschemas.google.com/" r:id="rId1" roundtripDataSignature="AMtx7mi5TEAdFqwkIIC8lQiQl37EAMqX8g=="/>
    </ext>
  </extLst>
</comments>
</file>

<file path=xl/sharedStrings.xml><?xml version="1.0" encoding="utf-8"?>
<sst xmlns="http://schemas.openxmlformats.org/spreadsheetml/2006/main" count="1342" uniqueCount="622">
  <si>
    <t>PROCESO DE MEJORAMIENTO CONTÍNUO</t>
  </si>
  <si>
    <t>CÓDIGO:</t>
  </si>
  <si>
    <t>MC-PR01-FO-01</t>
  </si>
  <si>
    <t>PROCEDIMIENTO ADMINISTRACIÓN DE RIESGOS</t>
  </si>
  <si>
    <t>VERSIÓN:</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</si>
  <si>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</si>
  <si>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</si>
  <si>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</si>
  <si>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</si>
  <si>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</si>
  <si>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</si>
  <si>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</si>
  <si>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t>
  </si>
  <si>
    <t>No. Riesgo</t>
  </si>
  <si>
    <t>Proceso</t>
  </si>
  <si>
    <t>Objetivo</t>
  </si>
  <si>
    <t>Descripción del Riesgo</t>
  </si>
  <si>
    <t>Impacto</t>
  </si>
  <si>
    <t>Causa Inmediata/ Vulnerabilidades</t>
  </si>
  <si>
    <t>Causa Raíz</t>
  </si>
  <si>
    <t>Tipo de Riesgos</t>
  </si>
  <si>
    <t>Clasificación del Riesgo</t>
  </si>
  <si>
    <t>Frecuencia con la cual se realiza la actividad</t>
  </si>
  <si>
    <t>Probabilidad Inherente</t>
  </si>
  <si>
    <t>%</t>
  </si>
  <si>
    <t>Criterios de impacto</t>
  </si>
  <si>
    <t>Observación de criterio</t>
  </si>
  <si>
    <t>Impacto 
Inherente</t>
  </si>
  <si>
    <r>
      <rPr>
        <b/>
        <sz val="10"/>
        <color theme="1"/>
        <rFont val="Arial"/>
      </rPr>
      <t>Zona de Riesgo Inherente</t>
    </r>
    <r>
      <rPr>
        <b/>
        <sz val="10"/>
        <color rgb="FFFF0000"/>
        <rFont val="Arial"/>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</si>
  <si>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</si>
  <si>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</si>
  <si>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</si>
  <si>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</si>
  <si>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</si>
  <si>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</si>
  <si>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</si>
  <si>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</si>
  <si>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</si>
  <si>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</si>
  <si>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</si>
  <si>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</si>
  <si>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</si>
  <si>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</si>
  <si>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</si>
  <si>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</si>
  <si>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</si>
  <si>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</si>
  <si>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</si>
  <si>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</si>
  <si>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</si>
  <si>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</si>
  <si>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</si>
  <si>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</si>
  <si>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RC1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</si>
  <si>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</si>
  <si>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</si>
  <si>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recibir o solicitar cualquier dádiva o beneficio a nombre propio o de terceros para modificar la formulación y/o asignación de recursos a los proyectos de inversión o planes institucionales.</t>
  </si>
  <si>
    <t>Reputacional</t>
  </si>
  <si>
    <t>Recibir o solicitar cualquier dádiva o beneficio a nombre propio o de terceros.</t>
  </si>
  <si>
    <t>Modificar la formulación o seguimiento a los proyectos de inversión o planes .</t>
  </si>
  <si>
    <t>Corrupción</t>
  </si>
  <si>
    <t>Fraude Interno</t>
  </si>
  <si>
    <t xml:space="preserve">     El riesgo afecta la imagen de la entidad con algunos usuarios de relevancia frente al logro de los objetivos</t>
  </si>
  <si>
    <t>CC1.1: El jefe de la Oficina Asesora de Planeación y el Profesional asignado establecen los lineamientos necesarios para garantizar la construcción transparente tanto de los proyectos de inversión (metodología y cronograma de proyectos de inversión) como de los distintos planes institucionales de la entidad (procedimientos y formatos).
CC1.2: Los proyectos, el PEI y el PAI se llevan a instancias de validación como el comité directivo lo que permite un control integral (dirección, subdirecciones y oficinas) en la asignación de planes y proyectos de inversión de la entidad.
CC1.3: Los directivos de la entidad firman el pacto de integridad y transparencia, aplicando las obligaciones allí estipuladas en coherencia con el código de integridad.</t>
  </si>
  <si>
    <t>Reporte al proceso de control disciplinario ante la evidencia de cualquier anomalía.
Corrección inmediata del plan o proyecto que haya tenido la intervención detectada.</t>
  </si>
  <si>
    <t>Preventivo</t>
  </si>
  <si>
    <t>Manual</t>
  </si>
  <si>
    <t>Documentado</t>
  </si>
  <si>
    <t>Continua</t>
  </si>
  <si>
    <t>Con Registro</t>
  </si>
  <si>
    <t>Reducir</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</si>
  <si>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</si>
  <si>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</si>
  <si>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</si>
  <si>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económicos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</si>
  <si>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</si>
  <si>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</si>
  <si>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</si>
  <si>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CC2.1: El Líder del área funcional de Contratos y Convenios a través de una instancia integral como lo es el Comité de Contratación revisa el objetivo y obligaciones iniciales planteadas a los convenios o alianzas en las que ingresan recursos a la entidad con el fin de dar mayor transparencia y garantizar idoneidad en la definición del mismo.
CC2.2: Los Subdirectores Técnicos y sus delegados a través de una  instancia como el Comité Operativo o mesa técnica realiza seguimiento al cumplimiento del objetivo y las obligaciones del convenio.
CC2.3: El delegado de la dirección general realiza revisiones trimestrales al cumplimiento de los proyectos o alianzas de cooperación a través del indicador de control denominado "avance de las alianzas de cooperación formalizadas" planteado en el proceso.
CC2.4: Los directivos de la entidad firman el pacto de integridad y transparencia, aplicando las obligaciones allí estipuladas en coherencia con el código de integridad.</t>
  </si>
  <si>
    <t>Reporte al proceso de control disciplinario ante la evidencia de cualquier anomalía.</t>
  </si>
  <si>
    <t>RC3</t>
  </si>
  <si>
    <t>Gestión del Patrimonio Arqueológico</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</si>
  <si>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</si>
  <si>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recibir o solicitar cualquier dádiva o beneficio a nombre propio o de terceros para incidir indebidamente en el resultado de un trámite o solicitud en asuntos relacionados con patrimonio arqueológico de la nación.</t>
  </si>
  <si>
    <t>Económico</t>
  </si>
  <si>
    <t>Incidir indebidamente en el resultado de un trámite o solicitud en asuntos relacionados con patrimonio arqueológico de la nación.</t>
  </si>
  <si>
    <t>CC3.1: El Subdirector de Patrimonio junto con el coordinador del grupo de arqueología y los lideres de grupo definen documentación y lineamientos que permitan un adecuado control de los trámites así como de las evaluaciones de los conceptos emitidos por los profesionales del grupo.
CC3.2: En el marco de las obligaciones para los contratistas se tiene una cláusula específica de confidencialidad de la información y para los funcionarios de planta la firma del acuerdo de confidencialidad.
CC3.3: La entidad define una instancia integral de revisión como lo es el comité de conflicto de intereses para garantizar la transparencia en todo el proceso.
CC3.4: La entidad establece documentación con lineamientos claros y específicos frente al Conflicto de Intereses para que todo funcionario y contratista reporte lo pertinente.
CC3.5: Los directivos de la entidad firman el pacto de integridad y transparencia, aplicando las obligaciones allí estipuladas en coherencia con el código de integridad..</t>
  </si>
  <si>
    <t>Reporte del evento para el Proceso de Control Disciplinario.</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</si>
  <si>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</si>
  <si>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</si>
  <si>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</si>
  <si>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</si>
  <si>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</si>
  <si>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</si>
  <si>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CC4.1. El Subdirector de Investigación y Producción Científica y su equipo de trabajo definen documentación que permita tener criterios claros para la revisión y aprobación de las investigaciones y conceptos técnicos generados por el ICANH.
CC4.2: El Subdirector de Investigación y Producción Científica define la creación de una instancia integral de revisión, evaluación y aprobación para los proyectos de investigación a través del comité de Investigaciones.
CC4.3: El Subdirector de Investigación y Producción Científica define la creación de una instancia de revisión y aprobación para los conceptos técnicos emitidos en el ICANH a través de vistos buenos tanto del Coordinador y/o de la Subdirección de Investigación y Producción Científica.
CC4.4: Los directivos de la entidad firman el pacto de integridad y transparencia, aplicando las obligaciones allí estipuladas en coherencia con el código de integridad.</t>
  </si>
  <si>
    <t>Envío a la gestión correspondiente del Proceso de Control Disciplinario.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</si>
  <si>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</si>
  <si>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</si>
  <si>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</si>
  <si>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</si>
  <si>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</si>
  <si>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</si>
  <si>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CC5.1: En el marco de las obligaciones para los contratistas se tiene una cláusula específica de confidencialidad de la información y para los funcionarios de planta la firma del acuerdo de confidencialidad.
CC5.2: De acuerdo con lo establecido por las políticas de seguridad de la información de la entidad, se establecen contaseñas para cada funcionario del equipo las cuales son personales, intransferibles, de cambio periódico y permiten identificar la trazabilidad de las acciones realizadas por los funcionarios y contratistas que las tienen asignadas.
CC5.3: El coordinador de área, establece en la documentación aplicable al proceso de comunicaciones revisiones por parte de instancias como la dirección general y la subdirección de apropiación y relacionamiento con el ciudadano. 
CC5:4: Los directivos de la entidad firman el pacto de integridad y transparencia, aplicando las obligaciones allí estipuladas en coherencia con el código de integridad.</t>
  </si>
  <si>
    <t>RC6</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</si>
  <si>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</si>
  <si>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</si>
  <si>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recibir o solicitar cualquier dádiva o beneficio a nombre propio o de terceros para incidir indebidamente en el resultado de una investigación disciplinaria.</t>
  </si>
  <si>
    <t>Incidir indebidamente en el resultado de una investigación disciplinaria.</t>
  </si>
  <si>
    <t>CC6.1: El Jefe de la Oficina de Control Disciplinario Interno documenta sus controles en el procedimiento dentro del cual se diferencian las etapas por las cuales debe pasar todo proceso disciplinario.
CC6.2: El Jefe de la Oficina de Control Disciplinario Interno documenta en cada etapa la intervención de otras instancias como la Oficina Asesora Jurídica y la Dirección General, lo que permiten mayor transparencia y control en la ejecución del mismo.
CC6.3: Los directivos de la entidad firman el pacto de integridad y transparencia, aplicando las obligaciones allí estipuladas en coherencia con el código de integridad.</t>
  </si>
  <si>
    <t>Investigación de la falta disciplinaria por parte de la Fiscalía.</t>
  </si>
  <si>
    <t>RC7</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</si>
  <si>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</si>
  <si>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</si>
  <si>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</si>
  <si>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</si>
  <si>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</si>
  <si>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CC7.1: El equipo de auditoria debe realizar revisión cruzada de los informes previos a la emisión, y de manera aleatoria, a los soportes documentales que dan cuenta del concepto emitido por el auditor.
CC7.2: El Comité de Control Interno tiene dentro de sus funciones analizar y resolver diferencias frente a los informes cada vez que éstas se presenten.
CC7.3: Se establece un canal formal de denuncias para que funcionarios y contratistas formalicen lo pertinente a temas referentes al proceso de auditorias.
CC7.4: Los directivos de la entidad firman el pacto de integridad y transparencia, aplicando las obligaciones allí estipuladas en coherencia con el código de integridad.</t>
  </si>
  <si>
    <t>Denuncia formal de la situación para la gestión de Control Interno Disciplinario o del Comité de Conflicto de Intereses.</t>
  </si>
  <si>
    <t>RC8</t>
  </si>
  <si>
    <t>Gestión Contractual</t>
  </si>
  <si>
    <t>Gestionar oportunamente y bajo la normatividad vigente los procesos contractuales para atender las necesidades de bienes, obras y/o servicios requeridos por la institución para su normal operación.</t>
  </si>
  <si>
    <t>Posibilidad de recibir o solicitar cualquier dádiva o beneficio a nombre propio o de terceros con el fin de realizar el favorecimiento en la adjudicación de un contrato o proponente.</t>
  </si>
  <si>
    <t>Favorecimiento en la adjudicación de un contrato o proponente.</t>
  </si>
  <si>
    <t>CC8.1: El coordinador del área funcional de contratos y convenios define criterios claros de participación de los oferentes y criterios de control a través de la documentación asociada al proceso de gestión contractual, con el fin de garantizar transparencia en la ejecución del mismo.
CC8.2: El proceso se rige por lo establecido en las guías de Colombia compra eficiente y en coherencia con lo exigido por la ley.
CC8.3: La Secretaría General revisa y verifica el cumplimiento de los requisitos establecidos a través de una instancia asesora, orientadora y decisora de los aspectos legales, como lo es el comité de contratación.
CC8.4: Los directivos de la entidad firman el pacto de integridad y transparencia, aplicando las obligaciones allí estipuladas en coherencia con el código de integridad.</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</si>
  <si>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</si>
  <si>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</si>
  <si>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</si>
  <si>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</si>
  <si>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</si>
  <si>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</si>
  <si>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CC9.1: En el marco de las obligaciones para los contratistas se tiene una cláusula específica de confidencialidad de la información y para los funcionarios de planta la firma del acuerdo de confidencialidad.
CC9.2: El Jefe de TI mediante el documento definido de roles y responsabilidades para todos el equipo de TI que especifica la herramienta a la cual se tiene y acceso, usuario y contraseña específico.
CC9.3: Los directivos de la entidad firman el pacto de integridad y transparencia, aplicando las obligaciones allí estipuladas en coherencia con el código de integridad.</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</si>
  <si>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</si>
  <si>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</si>
  <si>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</si>
  <si>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entregar información que se considera privada o clasificada.</t>
  </si>
  <si>
    <t>CC10.2: La Secretaría General con el líder del área funcional de gestión documental y correspondencia establece los lineamientos del correcto manejo de la documentación con carácter reservado.
CC10.1: En el marco de las obligaciones para los contratistas se tiene una cláusula específica de confidencialidad de la información y para los funcionarios de planta la firma del acuerdo de confidencialidad.
CC10.3: Los directivos de la entidad firman el pacto de integridad y transparencia, aplicando las obligaciones allí estipuladas en coherencia con el código de integridad.</t>
  </si>
  <si>
    <t>Reporte del evento para el Proceso de Control Disciplinario respectivo.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</si>
  <si>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</si>
  <si>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</si>
  <si>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</si>
  <si>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modificar información financiera de la entidad.</t>
  </si>
  <si>
    <t>Posibilidad de recibir o solicitar cualquier dádiva o beneficio a nombre propio o de terceros</t>
  </si>
  <si>
    <t>Omitir o modificar información financiera de la entidad.</t>
  </si>
  <si>
    <t>CC11.1: Mediante la herramienta tecnológica (Aplicativo SIIF) se cuenta con los perfiles asignados que permiten identificar la trazabilidad de la actividad que realice cada uno.
CC11.2: En el marco de las obligaciones para los contratistas se tiene una cláusula específica de confidencialidad de la información y para los funcionarios de planta la firma del acuerdo de confidencialidad.
CC11.3: Los lideres funcionales del área tesoreria, contabilidad y presupuesto, definen la  documentación aplicable al Proceso Financiero con los controles pertinentes y los niveles de revisión y aprobación requeridos para garantizar una acción transparente y con la trazabilidad requerida.
CC11.4: Los directivos de la entidad firman el pacto de integridad y transparencia, aplicando las obligaciones allí estipuladas en coherencia con el código de integridad.</t>
  </si>
  <si>
    <t>RC12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</si>
  <si>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</si>
  <si>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</si>
  <si>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Posibilidad de recibir o solicitar cualquier dádiva o beneficio a nombre propio o de terceros con el fin de realizar el favorecimiento en la vinculación de personal.</t>
  </si>
  <si>
    <t>El favorecimiento en la vinculación de personal.</t>
  </si>
  <si>
    <t>CC12.1: 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CC12.2: El profesional especializado responsable del área de talento humano genera un informe de cumplimiento de requisitos del candidato al solicitante para que éste tome la decisión final frente a dichos criterios.
CC12.3: El profesional especializado responsable del área de talento humano publica la HV en el aplicativo del DAPRE para cargos de libre nombramiento y remoción.
CC12.4: Los directivos de la entidad firman el pacto de integridad y transparencia, aplicando las obligaciones allí estipuladas en coherencia con el código de integridad.</t>
  </si>
  <si>
    <t>Reporte del evento para el proceso disciplinario respectivo.
Comisión de personal informa del incumplimiento respectivo de la persona vinculada.</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</si>
  <si>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</si>
  <si>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</si>
  <si>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</si>
  <si>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</si>
  <si>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CC13.1: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
CC13.2: El Jefe de la Oficina Juridica y el equipo jurídico elaboran e implementan documentación del Proceso que permita tener los controles a las actuaciones de la oficina.
CC13.3: Los directivos de la entidad firman el pacto de integridad y transparencia, aplicando las obligaciones allí estipuladas en coherencia con el código de integridad.</t>
  </si>
  <si>
    <t>Remitir el caso al proceso de Control Disciplinario.</t>
  </si>
  <si>
    <t>RC14</t>
  </si>
  <si>
    <t>Gestión Administrativa y Logística</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</si>
  <si>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</si>
  <si>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</si>
  <si>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 xml:space="preserve">Inadecuada gestión del proceso </t>
  </si>
  <si>
    <t>CC14.1: El líder del área funcional del almacén diseña documentación aplicable al manejo de activos con los controles pertinentes.
CC14.2: El líder del área funcional del almacén diseña un indicador que permita evidenciar las novedades en la ejecución de los inventarios realizados a las diferentes sedes/parques de la entidad.
CC14.3: El líder del área funcional del almacén elabora un informe cuatrimestral de inventario de activos que presenta a la Secretaría General donde evidencia cualquier anomalía en los inventarios realizados a las diferentes sedes/parques de la entidad.
CC14.4: Los directivos de la entidad firman el pacto de integridad y transparencia, aplicando las obligaciones allí estipuladas en coherencia con el código de integridad.</t>
  </si>
  <si>
    <t>Reporte a entes de control externo para la investigación pertinente.</t>
  </si>
  <si>
    <t>RC15</t>
  </si>
  <si>
    <t>Posibilidad de recibir o solicitar dádivas en beneficio propio o de un tercero para el favorecimiento a un autor en la publicación de un contenido sin aplicar criterios objetivos y meritocráticos establecidos.</t>
  </si>
  <si>
    <t>CC15.1: El líder del área funcional de publicaciones y su equipo de trabajo definen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CC15.2: El Subdirector de Investigación y Producción Científica define la creación de una instancia integral de revisión y aprobación como lo es el Comité Editorial.
CC15.3: El líder del área funcional de publicaciones establece herramientas que permitan monitorear y hacer seguimiento a todo el proceso editorial en cada una de sus fases (Cuadro de monitoreo de procesos editoriales, correos etiquetados).
CC15.4: Los directivos de la entidad firman el pacto de integridad y transparencia, aplicando las obligaciones allí estipuladas en coherencia con el código de integridad.</t>
  </si>
  <si>
    <t>RC16</t>
  </si>
  <si>
    <t>Posibilidad de recibir o solicitar dádivas en beneficio propio o de un tercero para no dar el crédito correspondiente en la publicación de obras o productos de investigación, a un autor o institución, cometiendo plagio y violación de derechos de autor, por apropiar información, palabras o cualquier forma de expresión de otra persona a nombre propio.</t>
  </si>
  <si>
    <t>CC16.1: El líder del área funcional de publicaciones y su equipo de trabajo definen documentación que permita tener lineamientos claros para la evaluación y producción editorial (Política editorial y Política de derechos de autor) estableciendo criterios específicos de calidad en la información recibida (Procedimiento de gestión editorial y formatos de Concepto previo, evaluación de pares, claúsulas minutas de cesión de derechos de autor, licenciamiento de uso de derechos).
CC16.2: El Subdirector de Investigación y Producción Científica define la creación de una instancia integral de revisión y aprobación como lo es el Comité Editorial.
CC16.3: El líder del área funcional de publicaciones establece herramientas tecnológicas especializadas que permitan la detección de plagio.
CC16.4: Los directivos de la entidad firman el pacto de integridad y transparencia, aplicando las obligaciones allí estipuladas en coherencia con el código de integridad.</t>
  </si>
  <si>
    <t>RC17</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</si>
  <si>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</si>
  <si>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</si>
  <si>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Posibilidad de recibir o solicitar dádivas en beneficio propio o de un tercero para el favorecimiento en la adjudicación de un estímulo sin aplicar criterios, objetivos y condiciones establecidas.</t>
  </si>
  <si>
    <t xml:space="preserve">Reputacional y  Ecónomico </t>
  </si>
  <si>
    <t>Falta de criterios o documentación clara y específica
Falta de evaluación o seguimiento al proceso de estímulos
Falta de capacidad tecnológica en el apoyo a todo proceso
Falta de definición de controles a los jurados y posibilidad de conflicto de interés</t>
  </si>
  <si>
    <t>Ejecucion y Administracion de procesos</t>
  </si>
  <si>
    <t>CC17.1: El Subdirector(a) de Apropiación Social y Relacionamiento con el Ciudadano, y el profesional de apoyo, diseña e implementa lineamientos claros y específicos (procedimientos/guías/formatos) con lo debidos controles para el adecuado manejo de estimulos y jurados.
CC17.2: El equipo de la subdirección de Apropiación Social y Relacionamiento con el Ciudadano, a cargo del programa de estimulos, realiza el seguimiento mediante reportes que genera la plataforma del proceso de estimulos.
CC17.3: El equipo de la Subdirección de Apropiación Social y Relacionamiento con el Ciudadano, establece una instancia de revisión y aprobación como lo es el comité quien realiza la aprobación de las condiciones generales y términos de participación mediante el acta de comité y la carta de aceptación.
CC17.4: Los directivos de la entidad firman el pacto de integridad y transparencia, aplicando las obligaciones allí estipuladas en coherencia con el código de integridad.</t>
  </si>
  <si>
    <t>Evitar</t>
  </si>
  <si>
    <t>Versión 4 del 27 de febrero de 2025 / Aprobada por el Comité Institucional de Gestión y Desempeño No.02.</t>
  </si>
  <si>
    <t xml:space="preserve">Seguimiento Cuatrimestre </t>
  </si>
  <si>
    <t>Zona de Riesgo Inherente 
(Nivel de Severidad)</t>
  </si>
  <si>
    <t>RG1</t>
  </si>
  <si>
    <t>Posibilidad de pérdida reputacional debido al incumplimiento en la gestión de planes, programas, proyectos de inversión e informes de gestión institucional obligatorios debido a la falta de coordinación entre áreas</t>
  </si>
  <si>
    <t>Incumplimiento en la publicación de planes e informes de gestión institucional obligatorios</t>
  </si>
  <si>
    <t>Falta de coordinación entre áreas.</t>
  </si>
  <si>
    <t>Gestión</t>
  </si>
  <si>
    <t>C1.1: El Jefe de la Oficina Asesora de Planeación y el Profesional asignado diseña e implementa documentación con directrices y controles claros que permitan orientar a las áreas en el diseño, implementación y publicación de planes, programas, proyectos e informes institucionales.
C1:2: El Jefe de la Oficina Asesora de Planeación y el Profesional asignado realiza las sensibilizaciones relacionadas con la implementación de las directrices para la elaboración de planes, programas, proyectos de inversión e informes institucionales.
C1.3: El Jefe de la Oficina Asesora de Planeación y el Profesional asignado realizan las revisiones previas a la aprobación de los planes, programas, proyectos e informes institucionales recibidos así como un acompañamiento frente a las desviaciones encontradas en la verificación.
C1.4: Los comités directivo e institucional de gestión y desempeño revisa y aprueba los planes como el PEI, PAI y los planes institucionales respectivamente. Igualmente los informes de ley llevan la revisión y visto bueno de la dirección general de la entidad.
C1.5: El jefe de la Oficina Asesora de Planeación y el Profesional diseñan y publican el boletin de seguimientos a los planes y al presupuesto asociado informando las alertas pertinentes ante cualquier incumplimiento.</t>
  </si>
  <si>
    <t>Presentación del boletin al comité respectivo para que se tomen las medidas pertinentes ante las desviaciones encontradas.</t>
  </si>
  <si>
    <t>Probabilidad</t>
  </si>
  <si>
    <t>RG2</t>
  </si>
  <si>
    <t>Posibilidad de afectación reputacional y pérdida económica en las alianzas/convenios de cooperación debido a la gestión inoportuna o inadecuada de las mismas.</t>
  </si>
  <si>
    <t>Afectación reputacional y pérdida económica en las alianzas de cooperación gestionadas</t>
  </si>
  <si>
    <t>Debido a la gestión inoportuna o inadecuada .</t>
  </si>
  <si>
    <t xml:space="preserve">     Entre 50 y 100 SMLMV </t>
  </si>
  <si>
    <t>C2.1: Las subdirecciones técnicas y sus delegados en concordancia con los lineamientos dados a los supervisores de convenios y con la vigilancia del comité operativo o mesa técnica, realiza seguimiento al cumplimiento del objetivo y las obligaciones del convenio a través del indicador de gestión denominado "avance de las alianzas de cooperación formalizadas".
C2.2:  El delegado de la dirección y el líder del área funcional de contratos y convenios a través de la documentación aplicable en los procesos de Articulación y Cooperación Interinstitucional y Gestión Contractual, describen las actividades de control necesarias para la correcta la suscripción, ejecución y seguimiento de los distintos convenios celebrados por la entidad.
C2.3: El líder de contratos y convenios a través del indicador de control denominado "oportunidad en la gestión de convenios" establece un tiempo adecuado para la suscripción oportuna de los convenios en el que ingresen recursos a la entidad para garantizar una adecuada ejecución.</t>
  </si>
  <si>
    <t>Reporte del incumplimiento para abrir disciplinario al Supervisor.
Aplicación de póliza de cumplimiento (cuando aplica).
Aplicación de las cláusulas pertienentes a terminación del convenio.</t>
  </si>
  <si>
    <t>RG3</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</si>
  <si>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</si>
  <si>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</si>
  <si>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de los mismos.</t>
  </si>
  <si>
    <t xml:space="preserve">Incumplimiento en los requisitos de los modelos de gestión adoptados. </t>
  </si>
  <si>
    <t>Desconocimiento de la normatividad vigente frente a los modelos de gestión aplcables a la entidad.</t>
  </si>
  <si>
    <t>C3.1: El Jefe de la Oficina Asesora de Planeación y el Profesional asignado define el sistema de gestión basado en los lineamientos establecidos por el Departamento de Función Pública - DAFP ente rector de las entidades públicas.
C3.2: El Jefe de la Oficina Asesora de Planeación y el Profesional asignado adapta el modelo definido por el DAFP a las necesidades de la entidad cumpliendo con los requisitos establecidos por éste.</t>
  </si>
  <si>
    <t>A través de las auditorias los hallazgo se manejan mediante planes de mejoramiento que debe documentar el líder de proceso que incumpla los requisitos establecidos.</t>
  </si>
  <si>
    <t>RG4</t>
  </si>
  <si>
    <t>Posibilidad de Pérdida reputacional o de credibilidad en la gestión de la entidad por ineficiencias del modelo de gestión adoptado, debido a un inadecuado diseño o implementación de los lineamientos del mismo.</t>
  </si>
  <si>
    <t>Inadecuado diseño o implementación de los lineamientos del modelo de gestión adoptado.</t>
  </si>
  <si>
    <t>Debido a la inadecuada definición o seguimiento al sistema de gestión de la entidad.</t>
  </si>
  <si>
    <t>C4.1: El Jefe de la Oficina Asesora de planeación y el Profesional asignado establece las directrices necesarias para cumplir con los requisitos del sistema de gestión a través de los seguimientos establecidos para cada componente del mismo (revisión de la documentación, seguimiento a indicadores y monitoreo de riesgos).
C41.2 El Jefe de la Oficina Asesora de planeación y el Profesional asignado establece indicadores de gestión frente al resultado del IDI para implementar las acciones de mejora a cada política del modelo que así lo requiera.</t>
  </si>
  <si>
    <t>Generar planes de mejoramiento y o
documentación de Mejoras de MIPG</t>
  </si>
  <si>
    <t>RG5</t>
  </si>
  <si>
    <t>Pérdida reputacional o de credibilidad debido a insatisfacción reiterativa* de los grupos de valor e interés debido a la extemporaneidad, imprecisión o baja calidad en la respuesta a las solicitudes de la ciudadanía.
* Indicador PQRSDF</t>
  </si>
  <si>
    <t>Insatisfacción reiterativa de los grupos de valor e interés</t>
  </si>
  <si>
    <t>Extemporaneidad, imprecisión o baja calidad en la respuesta a la atención al ciudadano.</t>
  </si>
  <si>
    <t xml:space="preserve">C5.1: La subdirección de apropiación social y relacionamiento con el ciudadano y el profesional especializado responsable deben realizar el informe de seguimiento trimestral a las PQRSDF realizadas por los ciudadanos, de acuerdo al protocolo de respuestas a peticiones ciudadanas, para que las áreas realicen las acciones preventivas o correctivas en la calidad u oportunidad de las respuestas.
C5.2: La subdirección de apropiación social y relacionamiento con el ciudadano y el profesional especializado responsable debe llevar a una instancia superior como lo es el comité institucional de gestión y desempeño, las alertas frente a las solicitudes allegadas a la entidad, para la gestión correspondiente. </t>
  </si>
  <si>
    <t>Reuniones con los líderes de proceso que incumplan calidad u oportunidad.
Presentación en el comité institucional de gestión y desempeño del estado de las PQRSDF.
Envío de correos de recordación del tiempo que lleva la PQRSDF sin respuesta.</t>
  </si>
  <si>
    <t>RG6</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</si>
  <si>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</si>
  <si>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</si>
  <si>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</si>
  <si>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C6.1: El Subdirector de Apropiación Social y Relacionamiento con el Ciudadano y su equipo de trabajo deben diseñar mecanismos de participación y diálogo social (documentos, canales y espacios de participación) apropiados para los diferentes grupos de valor e interés 
C6.2: El Subdirector de Apropiación Social y Relacionamiento con el Ciudadano y su equipo de trabajo deben realizar seguimiento a la adecuada implementación de los canales por parte de las áreas misionales de la entidad.</t>
  </si>
  <si>
    <t>Reuniones con los líderes de proceso para apoyar en los espacios de participación.
Envío de correos de recordación del cronograma de la estrategia.
Estrategia de participación ciudadana y rendición de cuentas</t>
  </si>
  <si>
    <t>RG7</t>
  </si>
  <si>
    <t xml:space="preserve">Posibilidad de afectación reputacional, por la omisión de la catalogación y procesamiento físico del material adquirido para la puesta a disposición de la ciudadania.  </t>
  </si>
  <si>
    <t xml:space="preserve">
Posibilidad de Pérdida reputacional o de credibilidad por omisión de la catalogación y procesamiento fisico del material adquirido.
</t>
  </si>
  <si>
    <t>Ineficiencia en la gestión y falta de seguimiento al proceso de catalogación.</t>
  </si>
  <si>
    <t>Baja</t>
  </si>
  <si>
    <t>C7.1:El líder del área funcional de biblioteca especializada y el personal de apoyo, diseña e implementa los procedimientos/guías y demás documentación aplicable, para la catalogación y procesamiento del material bibliografico físico.
C7.2: El líder del área funcional de biblioteca especializada y el personal de apoyo, realiza el seguimiento y control a las herramientas que soportan el proceso (aplicativo y matriz de seguimiento).</t>
  </si>
  <si>
    <t>Generar planes de mejoramiento y o documentación del proceso</t>
  </si>
  <si>
    <t>Sin Documentar</t>
  </si>
  <si>
    <t xml:space="preserve">
Se puede aceptar el riesgo no es necesario adoptar medidas adicionales que reduzcan su probabilidad e impacto
</t>
  </si>
  <si>
    <t>RG8</t>
  </si>
  <si>
    <t>Proteger el patrimonio arqueológico de la nación a través de acciones articuladas para su conservación, investigación, divulgación, recuperación, regulación, reporte y registro, con el fin de garantizar la identidad cultural y territorial de la nación colombiana.</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</si>
  <si>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</si>
  <si>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</si>
  <si>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los asuntos relacionados con el patrimonio arqueológico de la nación.</t>
  </si>
  <si>
    <t xml:space="preserve">     Mayor a 500 SMLMV </t>
  </si>
  <si>
    <t>C8.1 El subdirector de patrimonio junto con el coordinador de patrimonio, el coordinador de arqueología y los lideres de grupo, determinan e integran las acciones y el presupuesto necesario para la protección del patrimonio arqueológico de la nación, en los planes institucionales establecidos por la entidad.
C8.2: El subdirector de patrimonio junto con el coordinador de patrimonio, el coordinador de arqueología y los lideres de grupo, definen lineamientos y documentación que oriente el adecuado manejo para la  protección del patrimonio arqueológico de la nación.
C8.3: El subdirector de patrimonio junto con el coordinador del grupo respectivo realizan el control de las evaluaciones y de los conceptos emitidos por los profesionales del equipo, de conformidad con los lineamientos establecidos por la entidad.
C8.4: El subdirector de patrimonio junto con el coordinador de patrimonio, el coordinador de arqueología, y los lideres de grupo,  evalúan los diagnósticos de conservación y generan las alertas frente a la vulneración a los valores excepcionales universales sobre los bienes muebles e inmuebles que cuentan con declaratoria de patrimonio mundial.
C8.5: El subdirector de patrimonio junto con el coordinador de patrimonio, el coordinador de arqueología y los lideres de grupo,  establecen las necesidades de articulación y cooperación interinstitucional para apoyar el adecuado cumplimiento de los compromisos frente al patrimonio arqueológico de la nación.
C8.6: El subdirector de patrimonio junto con el coordinador de patrimonio, el coordinador de arqueología y los lideres de grupo establecen la gestión de inventarios de las piezas arqueológicas de acuerdo con la normatividad vigente del patrimonio arqueológico de la nación.
C8.7: El subdirector de patrimonio junto con el coordinador de patrimonio, el coordinador de arqueología y los lideres de grupo, establecen acciones oportunas para los hallazgos recibidos en los planes de mejoramiento para subsanar la causa raíz del problema identificado.
C8.8: El subdirector de patrimonio junto con el coordinador de patrimonio, el coordinador de arqueología y los lideres de grupo, establecen indicadores que permitan monitorear el cumplimiento del objetivo del proceso y tomar acciones inmediatas ante cualquier desviación.</t>
  </si>
  <si>
    <t>Informar por escrito a las entidades pertinentes ya sea de nivel municipal, departamental, nacional o internacional con el proposito de definir rutas de atención adecuadas.
Realizar la investigación interna pertinente y gestionar lo referente al proceso disciplinario a que haya lugar.
Desarrollar un análisis interno en caso de tratarse de una afectación al patrimonio arqueológico sobre posibles acciones que puedan ser adelantadas para determinar el tipo de afectación y posibles acciones que puedan ejecutarse para prevenir la ocurrencia del hecho a futuro.
En caso de tratarse de una potencial afectación al patrimonio arqueológico, debe oficiarse al CAPA (Comité de afectaciones al patrimonio arqueológico) para definir si se materializa o no una afectación y generar una respuesta en articulación con la oficina asesora juridica del ICANH.</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</si>
  <si>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</si>
  <si>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</si>
  <si>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</si>
  <si>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</si>
  <si>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C9.1: 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C9.2: El líder del área funcional de publicaciones y su equipo de trabajo define documentación que permita tener lineamientos claros para la evaluación y producción editorial (Política editorial) y que establezca criterios específicos de calidad en la información recibida (Procedimiento de gestión editorial, formato de evaluación de manuscritos, formato de concepto previo).
C9.3: El Subdirector de Investigación y Producción Científica establece una instancia de aprobación y control como lo es el Comité Editorial.
C9.4: El líder del área funcional de publicaciones establece herramientas de monitoreo y seguimiento al cumplimiento de cada una de las fases del proceso de publicaciones (Cuadro de monitoreo de procesos editoriales, correos etiquetados).</t>
  </si>
  <si>
    <t>Sanear todas las etapas del proceso y los documentos asociados que no se hayan gestionado adecuadamente en su momento.
Envío a la gestión correspondiente del Proceso de Control Disciplinario y de orden penal de acuerdo a la gravedad del evento.</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</si>
  <si>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</si>
  <si>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</si>
  <si>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</si>
  <si>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r>
      <rPr>
        <sz val="10"/>
        <color theme="1"/>
        <rFont val="Arial"/>
      </rPr>
      <t xml:space="preserve">C10.1: El equipo de comunicaciones tiene documentado el procedimiento para publicación de contenidos WEB con revisiones de ambas partes y aprobación del jefe de área. 
</t>
    </r>
    <r>
      <rPr>
        <sz val="10"/>
        <color rgb="FFFF0000"/>
        <rFont val="Arial"/>
      </rPr>
      <t>C10.2: El equipo de comunicaciones para ciertos comunicados de carácter externo, establece la aprobación de una instancia superior como lo es el visto bueno de la dirección general de la entidad.</t>
    </r>
  </si>
  <si>
    <t>Eliminar contedido y corrección (editar) el comunicado publicado.</t>
  </si>
  <si>
    <t>RG11</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</si>
  <si>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</si>
  <si>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</si>
  <si>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</si>
  <si>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C11.1: El jefe de la Oficina de Control Interno Disciplinario Interno define lineamientos claros del manejo a realizar en las distintas etapas del proceso disciplinario.
C11.2: El jefe de la Oficina de Control Interno Disciplinario Interno controla mediante la utilización de una matriz o herramienta de seguimiento las distintas etapas del proceso en donde se especifican las fechas de la probable prescripción o caducidad de cada una.</t>
  </si>
  <si>
    <t>Investigación de la falta disciplinaria por parte de la Procuraduría.</t>
  </si>
  <si>
    <t>RG12</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</si>
  <si>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</si>
  <si>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</si>
  <si>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</si>
  <si>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C12.1: El Jefe de la Oficina de Control Interno y su equipo deben definir, de acuerdo al marco normativo, los informes de ley para  cada una de las vigencias.
C12.2:El Jefe de la Oficina de Control Interno y su equipo deben establecer el cronograma de presentación de los informes de ley.
C12.3:El Jefe de la Oficina de Control Interno debe relizar reuniones de equipo donde se verifica el avance de todas las actividades asignadas dentro de las cuales se encuentra el tema de informes.</t>
  </si>
  <si>
    <t>Presentarlo extemporáneamente el informe de ley respectivo.
Informar a la Dirección General de la situación presentada.</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</si>
  <si>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</si>
  <si>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</si>
  <si>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</si>
  <si>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</si>
  <si>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 xml:space="preserve">C13.1:El Jefe de la Oficina de Control Interno debe establecer las actividades de divulgación y capacitación del marco normativo vigente y sus actualizaciones, aplicable al proceso de evaluación y control.
C13.2: El Jefe de la Oficina de Control Interno y su equipo documentan y definen los criterios necesarios bajo los cuales se deben ejecutar las auditorias, evaluaciones y seguimientos.
C13.3: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
C13.4: El Jefe de la Oficina de Control Interno y su equipo una vez finaliza las auditorias, evaluaciones y seguimientos solicita a los auditados dilgenciar la encuesta del indicador de gestión de control interno para realizar la retroalimentación y mejora respectiva. </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</si>
  <si>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</si>
  <si>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</si>
  <si>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</si>
  <si>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Pérdida económica por demandas y reclamaciones administrativas debido a una inadecuada e inoportuna gestión contractual.</t>
  </si>
  <si>
    <t>Pérdida económica por demandas y reclamaciones administrativas</t>
  </si>
  <si>
    <t>Inadecuada e inoportuna gestión contractual.</t>
  </si>
  <si>
    <t>C14.1: El líder del área funcional de contratos y convenios y su equipo define criterios claros de oportunidad, calidad, seguimiento y control en los documentos asociados al Proceso de Gestión Contractual y en coherencia con lo exigido por la ley.
C14.2: La Secretaría General revisa y verifica el cumplimiento de los requisitos establecidos a través de una instancia asesora, orientadora y decisora de los aspectos legales del Proceso como lo es el comité de contratación.
C14.3: El líder del área funcional de contratos y convenios y su equipo define indicadores de oportunidad frente a la gestión de contratos para persona natural, persona jurídica y convenios.</t>
  </si>
  <si>
    <t>Activación de la defensa jurídica de la entidad para el proceso correspondiente.</t>
  </si>
  <si>
    <t>RG15</t>
  </si>
  <si>
    <t>Pérdida reputacional por la indisponibilidad en la prestación de los servicios administrados por TI, debido a fallas técnicas o inadecuada administración de servicios tecnológicos.</t>
  </si>
  <si>
    <t>Indisponibilidad en la prestación de los servicios administrados por TI con la capacidad comprometida</t>
  </si>
  <si>
    <t>Fallas técnicas o inadecuada administración de servicios tecnológicos.</t>
  </si>
  <si>
    <t>Fallas Tecnologicas</t>
  </si>
  <si>
    <t xml:space="preserve">     El riesgo afecta la imagen de la entidad internamente, de conocimiento general, nivel interno, de junta dircetiva y accionistas y/o de provedores</t>
  </si>
  <si>
    <t>C15.1: El líder y equipo de TI definen y realiza seguimiento permanente a través de indicadores que miden la disponibilidad de las plataformas críticas de la entidad.
C15.2: El líder y equipo de TI definen acuerdos de niveles de servicio con los principales proveedores de servicios críticos.
C15.3: El líder y equipo de TI definen e implementan el plan de continuidad y recuperación del servicio.</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</si>
  <si>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</si>
  <si>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</si>
  <si>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</si>
  <si>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TI.</t>
  </si>
  <si>
    <t>Inadecuado control en los sistema de información de la entidad</t>
  </si>
  <si>
    <t>C16.1: El oficial de seguridad de la información y el equipo de TI asignado definen en los diferentes niveles documentales (manuales, guías, procedimientos, políticas), lo pertinente a los mecanismos de control requeridos para los sistema de información de la entidad.
C16.2: El oficial de seguridad de la información y el equipo de TI asignado realizan el monitoreo del nivel de privilegios de los usuarios por área en las unidades compartidas con el fin de evitar la fuga de la información.</t>
  </si>
  <si>
    <t>Reporte a los niveles pertinentes ante cualquier evidencia de fuga de información.</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</si>
  <si>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</si>
  <si>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</si>
  <si>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</si>
  <si>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</si>
  <si>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C17.1: El líder y equipo del área funcional de gestión documental y correspondencia diseña e implementa lineamientos y controles claros para el manejo del sistema de gestión documental (procedimientos, guías, manuales, formatos).
C17.2: La Secretaría General y el líder del área funcional de gestión documental y correspondencia implementan un sistema documental formal que permita garantizar la trazabilidad y asegurar una preservación adecuada del patrimonio histórico y documental de la institución.
C17.3: El líder y equipo del área funcional de gestión documental y correspondencia realiza el inventario de la documentación de la entidad.
C17.4: El líder del área funcional de gestión documental y correspondencia realiza capacitaciones a funcionarios y contratistas con el fin de fortalecer sus habilidades en la administración de documentos y por ende asegurar una preservación adecuada del patrimonio histórico y documental de la institución.</t>
  </si>
  <si>
    <t>Denuncia formal de la situación.
Reconstrucción del documento o expediente (trazabilidad del documento).
Memorando de la reconstrucción y del evento sucedido.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</si>
  <si>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</si>
  <si>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</si>
  <si>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</si>
  <si>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</si>
  <si>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</si>
  <si>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C18.1: El líder del área funcional de presupuesto presenta mensualmente un informe de la ejecución presupuestal a la Secretaría General.
C18.2: El líder del área funcional del contabilidad presenta trimestralmente el informe de estados financieros para revisión de la Secretaría General.
C18.3: El líder del área funcional del contabilidad presenta trimestralmente ante la Contaduría General de la Nación información financiera de la entidad.
C18.4: La Secretaria General valida mediante firma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</si>
  <si>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</si>
  <si>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</si>
  <si>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</si>
  <si>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</si>
  <si>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</si>
  <si>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C19.1: El líder del área funcional de Contabilidad diseña y aplica documentación con los controles pertinentes y los niveles de revisión y aprobación en el Procedimiento Contable.
C19.2: El líder del área funcional de Contabilidad presenta trimestralmente ante la Contaduría General de la Nación información financiera de la entidad. 
C19.3: El líder del área funcional de Contabilidad presenta trimestralmente el informe de estados financieros para revisión de la Secretaría General.
C19.4: .El líder del área funcional de Contabilidad debe verificar trimestralmente, el correcto registro de las operaciones contables que afectan los estados financieros de la entidad de conformidad con la información suministrada por las distintas áreas de la entidad.</t>
  </si>
  <si>
    <t>Aplicación de la Norma de políticas contables, cambios en las estimaciones contables y corrección de errores.
Entrega de información al ente de control que la requiera.</t>
  </si>
  <si>
    <t>RG20</t>
  </si>
  <si>
    <t xml:space="preserve">Pérdida económica por incumplimiento en el pago de obligaciones críticas como lo son impuestos y servicios públicos, debido a la inadecuada o inoportuna gestión del proceso y a factores externos. </t>
  </si>
  <si>
    <t>Incumplimiento en el pago de obligaciones críticas de la entidad.</t>
  </si>
  <si>
    <t xml:space="preserve">Inadecuada o inoportuna gestión del proceso. </t>
  </si>
  <si>
    <t>C20.1: El Coordinador Financiero y los líderes de las áreas funcionales del grupo financiero diseñan y aplican documentación con los controles pertinentes y los niveles de revisión y aprobación en el proceso.
C20.2: El Grupo Financiero consulta en SIIF los reportes de compromisos, obligaciones, órdenes de pago y su estado, con el fin de realizar el seguimiento oportuno.
C20.3: El Coordinador Financiero informa por escrito a la Secretaría General de cualquier novedad que impacte de forma negativa el pago de las obligaciones adquiridas por la entidad.
C20.4: El responsable de gestionar los impuestos y servicios públicos en el proceso de GAL comunica al inicio de la vigencia (mes de enero,) al área financiera, el calendario de pago de impuestos y servicios públicos de la entidad y mes a mes envía con antelción los recibos físicos para el pago de impuestos y servicios públicos de la entidad.</t>
  </si>
  <si>
    <t>Pagar fuera del tiempo establecido.
Solicitar el reintegro del pago.
Asumir pérdida por parte de los integrantes del equipo del área financiera.</t>
  </si>
  <si>
    <t>RG21</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</si>
  <si>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</si>
  <si>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</si>
  <si>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</si>
  <si>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</si>
  <si>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C21.1:La Secretaría General y el profesional especializado responsable del tema de SST verifica los resultados obtenidos en la autoevaluación de los estándares mínimos de acuerdo a lo establecido a la resolución 0312 de 2019 y toma las acciones pertinentes ante cualquier desviación.
C21.2: El profesional especializado responsable del tema de SST realiza seguimiento al plan institucional de SST a través del indicador de gestión respectivo implementado las acciones de mejora pertinentes a las actividades que así lo requieran.</t>
  </si>
  <si>
    <t>Revisión por párte de los entes de control para determinar el tipo de sanción.</t>
  </si>
  <si>
    <t>RG22</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</si>
  <si>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</si>
  <si>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</si>
  <si>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</si>
  <si>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C22.1: La Secretaría General y el profesional asignado desarrollan e implementan una herramienta tecnológica que permita mayor control para la liquidación de nómina y parafiscales.
C22.2: El profesional especializado responsable del área de talento humano revisa la liquidación de nómina y parafiscales de forma mensual verificando la coherencia en los valores liquidados.
C22.3 El coordinador financiero y el profesional asignado realiza revisiones aleatorias de la cohenrencia en la liquidación de la nómina y parafiscales.</t>
  </si>
  <si>
    <t>Pago de la multa o sanción al ente regulador.</t>
  </si>
  <si>
    <t>RG23</t>
  </si>
  <si>
    <t>Pérdida reputacional o de credibilidad en la gestión del talento humano por ineficiencias de los planes institucionales implementados debido a la desarticulación entre la identificación de necesidades y el diseño de los mismos.</t>
  </si>
  <si>
    <t>Pérdida reputacional o de credibilidad en la gestión del talento humano por ineficiencias de los planes implementados.</t>
  </si>
  <si>
    <t>Inadecuada gestión del proceso (desarticulación entre la identificación de necesidades y diseño de los planes).</t>
  </si>
  <si>
    <t>C23.1: El profesional especializado diseña los diferentes planes institucionales asociados a TH basados en las necesidades de las diferentes áreas del ICANH y acorde a las líneas temáticas establecidas por el DAFP y por la entidad.
C23.2:El profesional especializado responsable del área de talento humano y el equipo asignado realiza seguimiento trimestral a través de los indicadores de gestión asociados a planes institucionales de TH, implementando las acciones de mejora ante cualquier desviación detectada en la medición respectiva.</t>
  </si>
  <si>
    <t>Rediseño de los planes que se incumplieron o se desarticularon y validado con la alta dirección.</t>
  </si>
  <si>
    <t>RG24</t>
  </si>
  <si>
    <t>Pérdida reputacional debido a una inadecuada gestión del conocimiento durante el ciclo de vida del empleado.</t>
  </si>
  <si>
    <t>Pérdida reputacional por  inadecuada gestión del conocimiento durante el ciclo de vida del empleado.</t>
  </si>
  <si>
    <t>Inadecuada gestión del conocimiento (falta de acciones y estrategias para su retención).</t>
  </si>
  <si>
    <t>C24.1: El profesional especializado responsable del área de talento humano define y realiza seguimiento a la implementación de la política de gestión del conocimiento.
C24.2: La alta dirección establece su compromiso a través de la conformación de un equipo gestor de conocimiento que acompañe al líder de la política en su implementación.
C24.3: El profesional especializado responsable del área de talento humano define un plan de trabajo para garantizar la implementación permanente de la política de gestión del conocimiento en la entidad.
C24.4: El profesional especializado define documentos aplicables para el desarrollo de la política de forma que garanticen la gestión del conocimiento frente al ingreso, permanencia y retiro del personal de la entidad.
C24.5: El profesional especializado responsable del área de talento humano define las herramientas de uso y apropiación que permita garantizar el conocimiento tácito y explícito.</t>
  </si>
  <si>
    <t>Recavar los datos necesarios para lograr recuperar la mayor información que la persona manejaba y no quedaron documentados bajo ninguno de los mecanismos establecidos por la entidad.</t>
  </si>
  <si>
    <t>RG25</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</si>
  <si>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</si>
  <si>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</si>
  <si>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</si>
  <si>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C25.1: El Jefe de la Oficina Jurídica, Funcionarios y Contratistas, verifican la implementación de la PPDA así como el seguimiento y evaluación de esta. 
C25.2: El Jefe de la Oficina Jurídica Funcionarios y Contratistas, hace seguimiento al cumplimiento de la PPDA a través del indicador de gestión asociado a ésta.</t>
  </si>
  <si>
    <t>Comité de verificación de sentencias y judiciales.</t>
  </si>
  <si>
    <t>RG26</t>
  </si>
  <si>
    <t>Posibilidad de Impactar económica y reputacionalmente a la Entidad por falta de controles y seguimiento a las actividades relacionadas con la defensa jurídica de la Entidad debido a un ejercicio inadecuado de la función.</t>
  </si>
  <si>
    <t>Una argumentación insuficiente y débil, por falencias en el seguimiento, monitoreo y control a los actuaciones llevadas a cabo por los apoderados del ICANH</t>
  </si>
  <si>
    <t>Realización de un ejercicio indebido e inoportuno de la defensa Judicial.</t>
  </si>
  <si>
    <t>C26.1: El Jefe de la Oficina Jurídica y el equipo juridico establece la documentación necesaria para dar cumplimiento a la defensa jurídica de la entidad.
C26.2: El Jefe de la Oficina Jurídica y el equipo juridico, verifica mediante los indicadores del proceso el cumplimiento de los tiempos establecidos en la base de datos de los distintos requerimientos solicitados. 
C26. 3 El Jefe de Oficina Asesora Jurídica y el profesional designado, hace seguimiento a través de una matriz, a las peticiones, requerimientos y conceptos jurídicos para tener un registro y control de cada una de las respuestas y garantizar una revisión dual aplicadas a todas las solicitudes allegadas a la oficina.</t>
  </si>
  <si>
    <t xml:space="preserve">En caso de recibir una tutela esta pasaría al comité de sentencias para el tratamiento respectivo.
Reuniones explicativas y procesos comunicacionales con los ciudadanos  para brindar la explicación pertinente.
</t>
  </si>
  <si>
    <t>RG27</t>
  </si>
  <si>
    <t>Posibilidad de afectación reputacional y económica por incumplimiento de la normatividad vigente aplicable, debido al inadecuado seguimiento  y actualización de las herramientas institucionales</t>
  </si>
  <si>
    <t>Pérdida reputacional o de credibilidad en la gestión de la entidad por aplicaión de normas, no actulizadas o derogadas</t>
  </si>
  <si>
    <t>Usuarios, productos y practicas , organizacionales</t>
  </si>
  <si>
    <t>C27.1: El Jefe de la Oficina Juridica y el equipo juridico elabora e implementa documentación del Proceso que permite tener los controles a las actuaciones de la oficina.
C27.2: El Jefe de la Oficina Juridica con su equipo de jurídico, revisan actualizan, aprueban y publican las herramientas asociadas a evitar el daño anitjurídico como el Normograma y similares de la entidad, por lo menos una vez al año, o en su defecto una vez se conozca las nuevas actualizaciones o derogaciones.</t>
  </si>
  <si>
    <t>Se debe generar alcance a la respuesta y pronunciamiento, frente al documento, respuesta y/o concepto emitdo</t>
  </si>
  <si>
    <t>RG28</t>
  </si>
  <si>
    <t xml:space="preserve">
Pérdida reputacional o económica por ineficiencias de los planes ambientales implementados debido a la una inadecuada gestión del proceso.</t>
  </si>
  <si>
    <t>Pérdida reputacional o de credibilidad en la gestión de la entidad por ineficiencias de los planes ambientales implementados</t>
  </si>
  <si>
    <t>C28.1: El profesional encargado diseña e implementa los procedimientos/guías y demás documentación aplicable al programa ambiental de la entidad.
C28.2: El profesional encargado del manejo ambiental define e implementa el PIGA.
C28.3: El profesional encargado del manejo ambiental realiza el seguimiento trimestral al cumplimiento de los indicadores del PIGA y de manejo de residuos establecidos en el proceso.</t>
  </si>
  <si>
    <t>RG29</t>
  </si>
  <si>
    <t xml:space="preserve">
Pérdida económica por daños en los activos fijos de la entidad a causa de un proceder incorrecto, falta de controles y desastres naturales.</t>
  </si>
  <si>
    <t>Pérdida económica por daños en los activos</t>
  </si>
  <si>
    <t>Daños Activos Fisicos</t>
  </si>
  <si>
    <t>C29.1: El líder del área funcional del almacén diseña documentación aplicable al manejo de activos con los controles pertinentes.
C29.2: El líder del área funcional del almacén diseña un indicador de gestión que permita evidenciar la oportuna ejecución de los inventarios realizados a las diferentes sedes/parques de la entidad.
C29.3: El líder del área funcional del almacén elabora un informe cuatrimestral de inventario de activos que presenta a la Secretaría General donde evidencia cualquier anomalía en los inventarios realizados a las diferentes sedes/parques de la entidad.</t>
  </si>
  <si>
    <t>Aplicación del programa de seguros.</t>
  </si>
  <si>
    <t>Compartir</t>
  </si>
  <si>
    <t>RG30</t>
  </si>
  <si>
    <t>Pérdida reputacional por la afectación de la operación y los compromisos adquiridos por la entidad debido al incumplimiento en la gestión de los servicios administrativos, de infraestructura y logística necesarios para la operación de la entidad.</t>
  </si>
  <si>
    <t>Pérdida reputacional por la afectación de la operación y los compromisos adquiridos</t>
  </si>
  <si>
    <t>C30.1: El líder del proceso de Gestión Administrativa y Logística y su equipo diseña e implementa la documentación aplicable al proceso que garantice los controles pertinentes en los aspectos de logistica, infraestructura y servicios administrativos que éste maneja.
C30.2: El líder del proceso de Gestión Administrativa y Logística y su equipo diseña e implementa indicadores de gestión para los aspectos de logistica, infraestructura y servicios administrativos que maneja para garantizar oportunidad y/o calidad en la gestión.
C30.3: El líder del proceso de Gestión Administrativa y Logística y su equipo definen cronogramas/planes de trabajo para garantizar el cumplimiento oportuno de las actividades asociadas al proceso.</t>
  </si>
  <si>
    <t>Activar el plan de contigencia acorde al evento materializado que permita la continuidad en la operación de la entidad.
Reportar al proceso de Control Interno Disciplinario cualquier falta identificada.</t>
  </si>
  <si>
    <t>Versión 3 del 23 de Diciembre de 2024 / Aprobada por el Comité Institucional de Gestión y Desempeño No.12.</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</si>
  <si>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</si>
  <si>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</si>
  <si>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</si>
  <si>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</si>
  <si>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</si>
  <si>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</si>
  <si>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</si>
  <si>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</si>
  <si>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</si>
  <si>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</si>
  <si>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</si>
  <si>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</si>
  <si>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</si>
  <si>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</si>
  <si>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</si>
  <si>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</si>
  <si>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</si>
  <si>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</si>
  <si>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</si>
  <si>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</si>
  <si>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</si>
  <si>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</si>
  <si>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</si>
  <si>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</si>
  <si>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</si>
  <si>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</si>
  <si>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</si>
  <si>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</si>
  <si>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</si>
  <si>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</si>
  <si>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</si>
  <si>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</si>
  <si>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</si>
  <si>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</si>
  <si>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</si>
  <si>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</si>
  <si>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</si>
  <si>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</si>
  <si>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</si>
  <si>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</si>
  <si>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</si>
  <si>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</si>
  <si>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</si>
  <si>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</si>
  <si>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</si>
  <si>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</si>
  <si>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</si>
  <si>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</si>
  <si>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</si>
  <si>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</si>
  <si>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</si>
  <si>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</si>
  <si>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</si>
  <si>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</si>
  <si>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Se puede aceptar el riesgo no es necesario adoptar medidas adicionales que reduzcan su probabilidad e impacto.</t>
  </si>
  <si>
    <t>Si</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</si>
  <si>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</si>
  <si>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Se observa el correcto y oportuno diligenciamiento del seguimiento a los controles por parte de la primera línea de defensa, para los casos que aplicó se estableció el plan de tratamiento respectivo.</t>
  </si>
  <si>
    <t>Reduzca la probabilidad o impacto implementando acciones preventivas diferentes a los controles en un plan de tratamiento que identifique actividad, con fecha, responsable. También puede compartir o transferir el riesgo.</t>
  </si>
  <si>
    <t>No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</si>
  <si>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</si>
  <si>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</si>
  <si>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Seguridad de Información</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</si>
  <si>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</si>
  <si>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Se observa el diligenciamiento correcto del seguimiento de la primera línea de defensa pero posterior a la fecha establecida</t>
  </si>
  <si>
    <t>Aceptar</t>
  </si>
  <si>
    <t>Fraude Externo</t>
  </si>
  <si>
    <t>No se ejecutaron el (los) control (es) definido (s).</t>
  </si>
  <si>
    <t>Se observa el correcto y oportuno diligenciamiento del seguimiento a los controles por parte de la primera línea de defensa pero los controles se deben fortalecer.</t>
  </si>
  <si>
    <t>Relaciones Laborales</t>
  </si>
  <si>
    <t>Mapa de Riesgos</t>
  </si>
  <si>
    <r>
      <rPr>
        <sz val="10"/>
        <color theme="1"/>
        <rFont val="Arial"/>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rPr>
      <t>Guía para la Administración del Riesgo y el diseño de controles V5</t>
    </r>
    <r>
      <rPr>
        <sz val="10"/>
        <color theme="1"/>
        <rFont val="Arial"/>
      </rPr>
      <t>. El formato cuenta con celdas parametrizadas y permite contar con los respectivos mapas de calor para riesgo inherente y riesgo residual.</t>
    </r>
  </si>
  <si>
    <t>Orientaciones Generales</t>
  </si>
  <si>
    <r>
      <rPr>
        <sz val="11"/>
        <color theme="1"/>
        <rFont val="Arial"/>
      </rPr>
      <t xml:space="preserve">Antes de iniciar con el diligenciamiento de la información en la matriz, se requiere haber avanzado en el análisis del </t>
    </r>
    <r>
      <rPr>
        <b/>
        <sz val="11"/>
        <color theme="1"/>
        <rFont val="Arial"/>
      </rPr>
      <t>proceso, su objetivo, alcance, actividades clave</t>
    </r>
    <r>
      <rPr>
        <sz val="11"/>
        <color theme="1"/>
        <rFont val="Arial"/>
      </rPr>
      <t xml:space="preserve">, considere los lineamientos establecidos en el </t>
    </r>
    <r>
      <rPr>
        <b/>
        <sz val="11"/>
        <color rgb="FFE36C09"/>
        <rFont val="Arial"/>
      </rPr>
      <t>Paso 2: identificación del riesgo</t>
    </r>
    <r>
      <rPr>
        <sz val="11"/>
        <color theme="1"/>
        <rFont val="Arial"/>
      </rPr>
      <t xml:space="preserve">, donde se explica ampliamente las bases para adelanter este análisis.
Así mismo, considere en el </t>
    </r>
    <r>
      <rPr>
        <b/>
        <sz val="11"/>
        <color rgb="FFE36C09"/>
        <rFont val="Arial"/>
      </rPr>
      <t>Paso 3: valoración del riesgo</t>
    </r>
    <r>
      <rPr>
        <sz val="11"/>
        <color theme="1"/>
        <rFont val="Arial"/>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rPr>
      <t>NOTA:</t>
    </r>
    <r>
      <rPr>
        <sz val="11"/>
        <color theme="1"/>
        <rFont val="Arial"/>
      </rPr>
      <t xml:space="preserve"> Si lo considera pertinente, es posible agregar hojas de trabajo adicionales al presente formato que permitan incluir la traza de estos análisis.</t>
    </r>
  </si>
  <si>
    <r>
      <rPr>
        <sz val="10"/>
        <color theme="1"/>
        <rFont val="Arial"/>
      </rPr>
      <t xml:space="preserve">El archivo contiene las siguientes hojas:
-   </t>
    </r>
    <r>
      <rPr>
        <b/>
        <sz val="11"/>
        <color theme="1"/>
        <rFont val="Arial"/>
      </rPr>
      <t>Hoja 1 Instructivo</t>
    </r>
    <r>
      <rPr>
        <sz val="10"/>
        <color theme="1"/>
        <rFont val="Arial"/>
      </rPr>
      <t xml:space="preserve">
 -  </t>
    </r>
    <r>
      <rPr>
        <b/>
        <sz val="11"/>
        <color theme="1"/>
        <rFont val="Arial"/>
      </rPr>
      <t xml:space="preserve">Hoja 2 Mapa Final: </t>
    </r>
    <r>
      <rPr>
        <sz val="10"/>
        <color theme="1"/>
        <rFont val="Arial"/>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</si>
  <si>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</si>
  <si>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</si>
  <si>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</si>
  <si>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</si>
  <si>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</si>
  <si>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</si>
  <si>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</si>
  <si>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</si>
  <si>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</si>
  <si>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</si>
  <si>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</si>
  <si>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</si>
  <si>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</si>
  <si>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</si>
  <si>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</si>
  <si>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</si>
  <si>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</si>
  <si>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</si>
  <si>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</si>
  <si>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</si>
  <si>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</si>
  <si>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rPr>
      <t xml:space="preserve">Recuerde que el control se define como la medida que permite reducir o mitigar un riesgo. Defina el control (es) que atacan la causa raíz del riesgo, considere la estructura explicada en la guía: </t>
    </r>
    <r>
      <rPr>
        <b/>
        <sz val="9"/>
        <color rgb="FFE36C09"/>
        <rFont val="Arial"/>
      </rPr>
      <t>Responsable de ejecutar el control + Acción + Complemento</t>
    </r>
  </si>
  <si>
    <t>Esta casilla no se diligencia, depende de la selección en la columna R.</t>
  </si>
  <si>
    <r>
      <rPr>
        <b/>
        <sz val="9"/>
        <color theme="1"/>
        <rFont val="Arial"/>
      </rPr>
      <t xml:space="preserve">ATRIBUTOS EFICIENCIA
</t>
    </r>
    <r>
      <rPr>
        <sz val="9"/>
        <color theme="1"/>
        <rFont val="Arial"/>
      </rPr>
      <t>Tipo</t>
    </r>
  </si>
  <si>
    <t>Utilice la lista de despligue que se encuentra parametrizada, le aparecerán las opciones: i)Preventivo, ii)Detectivo, iii)Correctivo.</t>
  </si>
  <si>
    <r>
      <rPr>
        <b/>
        <sz val="9"/>
        <color theme="1"/>
        <rFont val="Arial"/>
      </rPr>
      <t xml:space="preserve">ATRIBUTOS EFICIENCIA
</t>
    </r>
    <r>
      <rPr>
        <sz val="9"/>
        <color theme="1"/>
        <rFont val="Arial"/>
      </rPr>
      <t>Implementación</t>
    </r>
  </si>
  <si>
    <t>Utilice la lista de despligue que se encuentra parametrizada, le aparecerán las opciones: i)Automático, ii)Manual.</t>
  </si>
  <si>
    <r>
      <rPr>
        <b/>
        <sz val="9"/>
        <color theme="1"/>
        <rFont val="Arial"/>
      </rPr>
      <t xml:space="preserve">ATRIBUTOS EFICIENCIA
</t>
    </r>
    <r>
      <rPr>
        <sz val="9"/>
        <color theme="1"/>
        <rFont val="Arial"/>
      </rPr>
      <t>Implementación</t>
    </r>
  </si>
  <si>
    <r>
      <rPr>
        <b/>
        <sz val="9"/>
        <color theme="1"/>
        <rFont val="Arial"/>
      </rPr>
      <t xml:space="preserve">ATRIBUTOS EFICIENCIA
</t>
    </r>
    <r>
      <rPr>
        <sz val="9"/>
        <color theme="1"/>
        <rFont val="Arial"/>
      </rPr>
      <t>Calificación</t>
    </r>
  </si>
  <si>
    <t xml:space="preserve">La matriz automáticamente hará el cálculo para el control analizado (Columna T) </t>
  </si>
  <si>
    <r>
      <rPr>
        <b/>
        <sz val="9"/>
        <color theme="1"/>
        <rFont val="Arial"/>
      </rPr>
      <t xml:space="preserve">ATRIBUTOS INFORMATIVOS
</t>
    </r>
    <r>
      <rPr>
        <sz val="9"/>
        <color theme="1"/>
        <rFont val="Arial"/>
      </rPr>
      <t>Documentación</t>
    </r>
  </si>
  <si>
    <t>Utilice la lista de despligue que se encuentra parametrizada, le aparecerán las opciones: i)Documentado, ii)Sin documentar.</t>
  </si>
  <si>
    <r>
      <rPr>
        <b/>
        <sz val="9"/>
        <color theme="1"/>
        <rFont val="Arial"/>
      </rPr>
      <t xml:space="preserve">ATRIBUTOS INFORMATIVOS
</t>
    </r>
    <r>
      <rPr>
        <sz val="9"/>
        <color theme="1"/>
        <rFont val="Arial"/>
      </rPr>
      <t>Frecuencia</t>
    </r>
  </si>
  <si>
    <t>Utilice la lista de despligue que se encuentra parametrizada, le aparecerán las opciones: i)Continua, ii)Aleatoria.</t>
  </si>
  <si>
    <r>
      <rPr>
        <b/>
        <sz val="9"/>
        <color theme="1"/>
        <rFont val="Arial"/>
      </rPr>
      <t xml:space="preserve">ATRIBUTOS INFORMATIVOS
</t>
    </r>
    <r>
      <rPr>
        <sz val="9"/>
        <color theme="1"/>
        <rFont val="Arial"/>
      </rPr>
      <t>Registro</t>
    </r>
  </si>
  <si>
    <t>Utilice la lista de despligue que se encuentra parametrizada, le aparecerán las opciones: i)Con Registro, ii) Sin Registro.</t>
  </si>
  <si>
    <t>Evaluación del Nivel de Riesgo - Nivel de Riesgo Residual</t>
  </si>
  <si>
    <r>
      <rPr>
        <sz val="9"/>
        <color theme="1"/>
        <rFont val="Arial"/>
      </rPr>
      <t>La matriz automáticamente hará el cálculo, acorde con el control o controles definidos con sus atributos analizados, lo que permitirá establecer el</t>
    </r>
    <r>
      <rPr>
        <b/>
        <sz val="9"/>
        <color rgb="FFE36C09"/>
        <rFont val="Arial"/>
      </rPr>
      <t xml:space="preserve"> nivel de riesgo inherente</t>
    </r>
    <r>
      <rPr>
        <sz val="9"/>
        <color theme="1"/>
        <rFont val="Arial"/>
      </rPr>
      <t xml:space="preserve"> (Columnas Y- Z- AA -AB- AC).</t>
    </r>
  </si>
  <si>
    <t>Tratamiento</t>
  </si>
  <si>
    <t>Utilice la lista de despligue que se encuentra parametrizada, le aparecerán las opciones: i)Aceptar, ii)Evitar, iii)Reducir (compartir), iv)Reducir (mitigar).</t>
  </si>
  <si>
    <r>
      <rPr>
        <b/>
        <sz val="9"/>
        <color theme="1"/>
        <rFont val="Arial"/>
      </rPr>
      <t xml:space="preserve">Plan de Acción
</t>
    </r>
    <r>
      <rPr>
        <sz val="9"/>
        <color theme="1"/>
        <rFont val="Arial"/>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</si>
  <si>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</si>
  <si>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</si>
  <si>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</si>
  <si>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rPr>
      <t xml:space="preserve"> -</t>
    </r>
    <r>
      <rPr>
        <sz val="11"/>
        <color theme="1"/>
        <rFont val="Arial"/>
      </rPr>
      <t xml:space="preserve"> </t>
    </r>
    <r>
      <rPr>
        <b/>
        <sz val="11"/>
        <color theme="1"/>
        <rFont val="Arial"/>
      </rPr>
      <t xml:space="preserve"> Matriz de Calor Inherente: </t>
    </r>
    <r>
      <rPr>
        <sz val="11"/>
        <color theme="1"/>
        <rFont val="Arial"/>
      </rPr>
      <t xml:space="preserve"> 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</si>
  <si>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Matriz de Calor Residual: </t>
    </r>
    <r>
      <rPr>
        <sz val="11"/>
        <color theme="1"/>
        <rFont val="Arial"/>
      </rPr>
      <t>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</si>
  <si>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Tabla de probabilidad: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</si>
  <si>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Impacto: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</si>
  <si>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Valoración de Controles: </t>
    </r>
    <r>
      <rPr>
        <sz val="11"/>
        <color theme="1"/>
        <rFont val="Arial"/>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</si>
  <si>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</si>
  <si>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</si>
  <si>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</si>
  <si>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</si>
  <si>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</si>
  <si>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</si>
  <si>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</si>
  <si>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</si>
  <si>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</si>
  <si>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</si>
  <si>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</si>
  <si>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</si>
  <si>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</si>
  <si>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</si>
  <si>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</si>
  <si>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</si>
  <si>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rPr>
      <t>Pérdidas derivadas de errores en la ejecución y administración de procesos.</t>
    </r>
    <r>
      <rPr>
        <sz val="12"/>
        <color rgb="FF000000"/>
        <rFont val="Arial"/>
      </rPr>
      <t xml:space="preserve"> </t>
    </r>
  </si>
  <si>
    <t>Anexo 1  Clasificación del riesgo</t>
  </si>
  <si>
    <t xml:space="preserve">Fraude externo </t>
  </si>
  <si>
    <r>
      <rPr>
        <sz val="12"/>
        <color rgb="FF595959"/>
        <rFont val="Arial"/>
      </rPr>
      <t>Pérdida derivada de actos de fraude por personas ajenas a la organización (no participa personal de la entidad).</t>
    </r>
    <r>
      <rPr>
        <sz val="12"/>
        <color rgb="FF000000"/>
        <rFont val="Arial"/>
      </rPr>
      <t xml:space="preserve"> </t>
    </r>
  </si>
  <si>
    <t xml:space="preserve">Fraude interno </t>
  </si>
  <si>
    <r>
      <rPr>
        <sz val="12"/>
        <color rgb="FF595959"/>
        <rFont val="Arial"/>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rPr>
      <t xml:space="preserve"> </t>
    </r>
  </si>
  <si>
    <t xml:space="preserve">Fallas tecnológicas </t>
  </si>
  <si>
    <r>
      <rPr>
        <sz val="12"/>
        <color rgb="FF595959"/>
        <rFont val="Arial"/>
      </rPr>
      <t>Errores en hardware, software, telecomunicaciones, interrupción de servicios básicos.</t>
    </r>
    <r>
      <rPr>
        <sz val="12"/>
        <color rgb="FF000000"/>
        <rFont val="Arial"/>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</si>
  <si>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</si>
  <si>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</si>
  <si>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</si>
  <si>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</si>
  <si>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</si>
  <si>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</si>
  <si>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</si>
  <si>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</si>
  <si>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</si>
  <si>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</si>
  <si>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</si>
  <si>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</si>
  <si>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</si>
  <si>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</si>
  <si>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</si>
  <si>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</si>
  <si>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</si>
  <si>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</si>
  <si>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</si>
  <si>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</si>
  <si>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</si>
  <si>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</si>
  <si>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</si>
  <si>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</si>
  <si>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</si>
  <si>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</si>
  <si>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</si>
  <si>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</si>
  <si>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</si>
  <si>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</si>
  <si>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</si>
  <si>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</si>
  <si>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</si>
  <si>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</si>
  <si>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</si>
  <si>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</si>
  <si>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</si>
  <si>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</si>
  <si>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</si>
  <si>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</si>
  <si>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</si>
  <si>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</si>
  <si>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</si>
  <si>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</si>
  <si>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</si>
  <si>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</si>
  <si>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</si>
  <si>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</si>
  <si>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</si>
  <si>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</si>
  <si>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</si>
  <si>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</si>
  <si>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</si>
  <si>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</si>
  <si>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</si>
  <si>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</si>
  <si>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</si>
  <si>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</si>
  <si>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</si>
  <si>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</si>
  <si>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</si>
  <si>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</si>
  <si>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</si>
  <si>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</si>
  <si>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</si>
  <si>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</si>
  <si>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</si>
  <si>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</si>
  <si>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</si>
  <si>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</si>
  <si>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</si>
  <si>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</si>
  <si>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</si>
  <si>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</si>
  <si>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</si>
  <si>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</si>
  <si>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</si>
  <si>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</si>
  <si>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</si>
  <si>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</si>
  <si>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</si>
  <si>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</si>
  <si>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</si>
  <si>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</si>
  <si>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rPr>
      <t xml:space="preserve">Se </t>
    </r>
    <r>
      <rPr>
        <b/>
        <sz val="10"/>
        <color rgb="FF000000"/>
        <rFont val="Arial"/>
      </rPr>
      <t>asumirá</t>
    </r>
    <r>
      <rPr>
        <sz val="10"/>
        <color rgb="FF000000"/>
        <rFont val="Arial"/>
      </rPr>
      <t xml:space="preserve"> el riesgo, en este caso se deben tomar medidas de contingencia, es decir que se deben definir acciones bajo el supuesto de que el riesgo se materialice. </t>
    </r>
  </si>
  <si>
    <t xml:space="preserve">Moderada </t>
  </si>
  <si>
    <r>
      <rPr>
        <sz val="10"/>
        <color rgb="FF000000"/>
        <rFont val="Arial"/>
      </rPr>
      <t xml:space="preserve">Se debe </t>
    </r>
    <r>
      <rPr>
        <b/>
        <sz val="10"/>
        <color rgb="FF000000"/>
        <rFont val="Arial"/>
      </rPr>
      <t>reducir y asumir</t>
    </r>
    <r>
      <rPr>
        <sz val="10"/>
        <color rgb="FF000000"/>
        <rFont val="Arial"/>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</si>
  <si>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</si>
  <si>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</si>
  <si>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</si>
  <si>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</si>
  <si>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rPr>
      <t>Se establecen acciones de control preventivas que permitan REDUCIR la probabilidad de ocurrencia del riesgo.</t>
    </r>
    <r>
      <rPr>
        <sz val="10"/>
        <color rgb="FF000000"/>
        <rFont val="Arial"/>
      </rPr>
      <t xml:space="preserve"> </t>
    </r>
  </si>
  <si>
    <t xml:space="preserve">REDUCIR la probabilidad o el impacto del riesgo, o ambos; por lo general conlleva a la implementación de controles. </t>
  </si>
  <si>
    <r>
      <rPr>
        <sz val="11"/>
        <color rgb="FF000000"/>
        <rFont val="Arial"/>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rPr>
      <t xml:space="preserve"> </t>
    </r>
  </si>
  <si>
    <t>Registro Sustancial</t>
  </si>
  <si>
    <t>Registro Material</t>
  </si>
  <si>
    <t>Sin registro</t>
  </si>
  <si>
    <t>Finalizado</t>
  </si>
  <si>
    <t>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</si>
</sst>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73">
    <font>
      <sz val="11"/>
      <color theme="1"/>
      <name val="Calibri"/>
      <scheme val="minor"/>
    </font>
    <font>
      <sz val="18"/>
      <color theme="1"/>
      <name val="Arial"/>
    </font>
    <font>
      <sz val="11"/>
      <name val="Calibri"/>
    </font>
    <font>
      <b/>
      <sz val="18"/>
      <color theme="1"/>
      <name val="Arial"/>
    </font>
    <font>
      <b/>
      <sz val="18"/>
      <color rgb="FF000000"/>
      <name val="Arial"/>
    </font>
    <font>
      <sz val="10"/>
      <color theme="1"/>
      <name val="Arial"/>
    </font>
    <font>
      <b/>
      <sz val="10"/>
      <color theme="0"/>
      <name val="Arial"/>
    </font>
    <font>
      <b/>
      <sz val="10"/>
      <color theme="1"/>
      <name val="Arial"/>
    </font>
    <font>
      <u/>
      <sz val="8"/>
      <color theme="10"/>
      <name val="Calibri"/>
    </font>
    <font>
      <sz val="8"/>
      <color theme="1"/>
      <name val="Arial"/>
    </font>
    <font>
      <u/>
      <sz val="8"/>
      <color theme="10"/>
      <name val="Calibri"/>
    </font>
    <font>
      <u/>
      <sz val="8"/>
      <color theme="10"/>
      <name val="Arial"/>
    </font>
    <font>
      <u/>
      <sz val="11"/>
      <color theme="10"/>
      <name val="Calibri"/>
    </font>
    <font>
      <sz val="10"/>
      <color theme="5"/>
      <name val="Arial"/>
    </font>
    <font>
      <sz val="11"/>
      <color theme="1"/>
      <name val="Calibri"/>
    </font>
    <font>
      <u/>
      <sz val="8"/>
      <color theme="1"/>
      <name val="Calibri"/>
    </font>
    <font>
      <u/>
      <sz val="8"/>
      <color theme="1"/>
      <name val="Calibri"/>
    </font>
    <font>
      <u/>
      <sz val="8"/>
      <color theme="1"/>
      <name val="Arial"/>
    </font>
    <font>
      <sz val="11"/>
      <color theme="1"/>
      <name val="Arial"/>
    </font>
    <font>
      <u/>
      <sz val="11"/>
      <color theme="1"/>
      <name val="Calibri"/>
    </font>
    <font>
      <sz val="10"/>
      <color rgb="FFFF0000"/>
      <name val="Arial"/>
    </font>
    <font>
      <u/>
      <sz val="8"/>
      <color theme="1"/>
      <name val="Calibri"/>
    </font>
    <font>
      <b/>
      <sz val="10"/>
      <color theme="1"/>
      <name val="Quattrocento Sans"/>
    </font>
    <font>
      <b/>
      <sz val="10"/>
      <color rgb="FFEAEAEA"/>
      <name val="Quattrocento Sans"/>
    </font>
    <font>
      <sz val="11"/>
      <color rgb="FF000000"/>
      <name val="Calibri"/>
    </font>
    <font>
      <b/>
      <sz val="9"/>
      <color theme="1"/>
      <name val="Arial"/>
    </font>
    <font>
      <sz val="9"/>
      <color theme="1"/>
      <name val="Arial"/>
    </font>
    <font>
      <b/>
      <sz val="14"/>
      <color theme="1"/>
      <name val="Arial"/>
    </font>
    <font>
      <b/>
      <u/>
      <sz val="11"/>
      <color theme="1"/>
      <name val="Arial"/>
    </font>
    <font>
      <b/>
      <u/>
      <sz val="11"/>
      <color theme="1"/>
      <name val="Arial"/>
    </font>
    <font>
      <b/>
      <sz val="11"/>
      <color theme="1"/>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12"/>
      <color rgb="FF000000"/>
      <name val="Arial"/>
    </font>
    <font>
      <sz val="12"/>
      <color rgb="FF595959"/>
      <name val="Arial"/>
    </font>
    <font>
      <b/>
      <sz val="18"/>
      <color theme="1"/>
      <name val="Arial Narrow"/>
    </font>
    <font>
      <b/>
      <sz val="20"/>
      <color rgb="FF000000"/>
      <name val="Arial Narrow"/>
    </font>
    <font>
      <sz val="20"/>
      <color rgb="FF000000"/>
      <name val="Arial Narrow"/>
    </font>
    <font>
      <sz val="20"/>
      <color rgb="FFFFFFFF"/>
      <name val="Arial Narrow"/>
    </font>
    <font>
      <b/>
      <sz val="11"/>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4"/>
      <color rgb="FF000000"/>
      <name val="Arial"/>
    </font>
    <font>
      <sz val="12"/>
      <color theme="1"/>
      <name val="Arial"/>
    </font>
    <font>
      <b/>
      <sz val="12"/>
      <color rgb="FF000000"/>
      <name val="Arial"/>
    </font>
    <font>
      <sz val="11"/>
      <color rgb="FF000000"/>
      <name val="Arial"/>
    </font>
    <font>
      <b/>
      <sz val="10"/>
      <color rgb="FF000000"/>
      <name val="Arial"/>
    </font>
    <font>
      <sz val="10"/>
      <color rgb="FF000000"/>
      <name val="Arial"/>
    </font>
    <font>
      <sz val="10"/>
      <color theme="1"/>
      <name val="Calibri"/>
    </font>
    <font>
      <sz val="10"/>
      <color rgb="FF000000"/>
      <name val="Arial Narrow"/>
    </font>
    <font>
      <b/>
      <sz val="10"/>
      <color rgb="FFFF0000"/>
      <name val="Arial"/>
    </font>
    <font>
      <b/>
      <sz val="10"/>
      <color rgb="FFE36C09"/>
      <name val="Arial"/>
    </font>
    <font>
      <b/>
      <sz val="11"/>
      <color rgb="FFE36C09"/>
      <name val="Arial"/>
    </font>
    <font>
      <b/>
      <sz val="9"/>
      <color rgb="FFE36C09"/>
      <name val="Arial"/>
    </font>
    <font>
      <b/>
      <sz val="12"/>
      <color rgb="FFE36C09"/>
      <name val="Arial"/>
    </font>
  </fonts>
  <fills count="27">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1">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style="hair">
        <color rgb="FF7030A0"/>
      </top>
      <bottom style="hair">
        <color rgb="FF7030A0"/>
      </bottom>
      <diagonal/>
    </border>
    <border>
      <left/>
      <right/>
      <top style="hair">
        <color rgb="FF7030A0"/>
      </top>
      <bottom style="hair">
        <color rgb="FF7030A0"/>
      </bottom>
      <diagonal/>
    </border>
    <border>
      <left style="hair">
        <color theme="1"/>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theme="1"/>
      </left>
      <right style="hair">
        <color theme="1"/>
      </right>
      <top/>
      <bottom style="hair">
        <color theme="1"/>
      </bottom>
      <diagonal/>
    </border>
    <border>
      <left/>
      <right style="hair">
        <color rgb="FF7030A0"/>
      </right>
      <top style="hair">
        <color rgb="FF7030A0"/>
      </top>
      <bottom/>
      <diagonal/>
    </border>
    <border>
      <left style="hair">
        <color rgb="FF7030A0"/>
      </left>
      <right style="hair">
        <color rgb="FF7030A0"/>
      </right>
      <top style="hair">
        <color rgb="FF7030A0"/>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style="hair">
        <color theme="1"/>
      </left>
      <right style="hair">
        <color theme="1"/>
      </right>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dotted">
        <color rgb="FF1F497D"/>
      </left>
      <right style="dotted">
        <color rgb="FF1F497D"/>
      </right>
      <top style="dotted">
        <color rgb="FF1F497D"/>
      </top>
      <bottom style="dotted">
        <color rgb="FF1F497D"/>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352">
    <xf numFmtId="0" fontId="0" fillId="0" borderId="0" xfId="0" applyFont="1" applyAlignment="1"/>
    <xf numFmtId="0" fontId="5" fillId="2" borderId="8" xfId="0" applyFont="1" applyFill="1" applyBorder="1"/>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8" xfId="0" applyFont="1" applyFill="1" applyBorder="1" applyAlignment="1">
      <alignment vertical="center"/>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10" borderId="22" xfId="0" applyFont="1" applyFill="1" applyBorder="1" applyAlignment="1">
      <alignment horizontal="center" vertical="center" textRotation="90" wrapText="1"/>
    </xf>
    <xf numFmtId="0" fontId="7" fillId="10" borderId="22" xfId="0" applyFont="1" applyFill="1" applyBorder="1" applyAlignment="1">
      <alignment horizontal="center" vertical="center" wrapText="1"/>
    </xf>
    <xf numFmtId="0" fontId="7" fillId="11" borderId="22" xfId="0" applyFont="1" applyFill="1" applyBorder="1" applyAlignment="1">
      <alignment horizontal="center" vertical="center" textRotation="90" wrapText="1"/>
    </xf>
    <xf numFmtId="0" fontId="7" fillId="7" borderId="23"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10" borderId="28" xfId="0" applyFont="1" applyFill="1" applyBorder="1" applyAlignment="1">
      <alignment horizontal="center" vertical="center" textRotation="90" wrapText="1"/>
    </xf>
    <xf numFmtId="0" fontId="7" fillId="10" borderId="28" xfId="0" applyFont="1" applyFill="1" applyBorder="1" applyAlignment="1">
      <alignment horizontal="center" vertical="center" wrapText="1"/>
    </xf>
    <xf numFmtId="0" fontId="7" fillId="10" borderId="22" xfId="0" applyFont="1" applyFill="1" applyBorder="1" applyAlignment="1">
      <alignment horizontal="center" vertical="center" textRotation="90"/>
    </xf>
    <xf numFmtId="0" fontId="7" fillId="11" borderId="28" xfId="0" applyFont="1" applyFill="1" applyBorder="1" applyAlignment="1">
      <alignment horizontal="center" vertical="center" textRotation="90" wrapText="1"/>
    </xf>
    <xf numFmtId="0" fontId="7" fillId="13" borderId="22" xfId="0" applyFont="1" applyFill="1" applyBorder="1" applyAlignment="1">
      <alignment horizontal="center" vertical="center" wrapText="1"/>
    </xf>
    <xf numFmtId="0" fontId="7" fillId="12" borderId="29" xfId="0" applyFont="1" applyFill="1" applyBorder="1" applyAlignment="1">
      <alignment horizontal="center" vertical="center" textRotation="90" wrapText="1"/>
    </xf>
    <xf numFmtId="0" fontId="7" fillId="12" borderId="30" xfId="0" applyFont="1" applyFill="1" applyBorder="1" applyAlignment="1">
      <alignment horizontal="center" vertical="center" textRotation="90" wrapText="1"/>
    </xf>
    <xf numFmtId="0" fontId="7" fillId="7" borderId="30" xfId="0" applyFont="1" applyFill="1" applyBorder="1" applyAlignment="1">
      <alignment horizontal="center" vertical="center" textRotation="90" wrapText="1"/>
    </xf>
    <xf numFmtId="0" fontId="5" fillId="0" borderId="31" xfId="0" applyFont="1" applyBorder="1" applyAlignment="1">
      <alignment horizontal="center" vertical="center"/>
    </xf>
    <xf numFmtId="0" fontId="5" fillId="0" borderId="31" xfId="0" applyFont="1" applyBorder="1" applyAlignment="1">
      <alignment vertical="center" wrapText="1"/>
    </xf>
    <xf numFmtId="0" fontId="5" fillId="0" borderId="31" xfId="0" applyFont="1" applyBorder="1" applyAlignment="1">
      <alignment horizontal="left" vertical="center" wrapText="1"/>
    </xf>
    <xf numFmtId="0" fontId="5"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1" xfId="0" applyNumberFormat="1" applyFont="1" applyBorder="1" applyAlignment="1">
      <alignment vertical="center" wrapText="1"/>
    </xf>
    <xf numFmtId="0" fontId="5" fillId="0" borderId="31" xfId="0" applyFont="1" applyBorder="1" applyAlignment="1">
      <alignment horizontal="center" vertical="center" textRotation="90"/>
    </xf>
    <xf numFmtId="9" fontId="5" fillId="0" borderId="31" xfId="0" applyNumberFormat="1" applyFont="1" applyBorder="1" applyAlignment="1">
      <alignment horizontal="center" vertical="center"/>
    </xf>
    <xf numFmtId="165" fontId="5" fillId="0" borderId="31" xfId="0" applyNumberFormat="1" applyFont="1" applyBorder="1" applyAlignment="1">
      <alignment horizontal="center" vertical="center"/>
    </xf>
    <xf numFmtId="0" fontId="5" fillId="0" borderId="31" xfId="0" applyFont="1" applyBorder="1" applyAlignment="1">
      <alignment horizontal="center" vertical="center" textRotation="90" wrapText="1"/>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wrapText="1"/>
    </xf>
    <xf numFmtId="164" fontId="5" fillId="2" borderId="31" xfId="0" applyNumberFormat="1" applyFont="1" applyFill="1" applyBorder="1" applyAlignment="1">
      <alignment horizontal="center" vertical="center"/>
    </xf>
    <xf numFmtId="0" fontId="8" fillId="2" borderId="3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0" fillId="2" borderId="31" xfId="0" applyFont="1" applyFill="1" applyBorder="1" applyAlignment="1">
      <alignment horizontal="left" vertical="center" wrapText="1"/>
    </xf>
    <xf numFmtId="9" fontId="5" fillId="0" borderId="31" xfId="0" applyNumberFormat="1" applyFont="1" applyBorder="1" applyAlignment="1">
      <alignment horizontal="left" vertical="center" wrapText="1"/>
    </xf>
    <xf numFmtId="0" fontId="11" fillId="2" borderId="31" xfId="0" applyFont="1" applyFill="1" applyBorder="1" applyAlignment="1">
      <alignment horizontal="center" vertical="center" wrapText="1"/>
    </xf>
    <xf numFmtId="164" fontId="12" fillId="2" borderId="31" xfId="0" applyNumberFormat="1"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5" fillId="0" borderId="31" xfId="0" applyFont="1" applyBorder="1"/>
    <xf numFmtId="0" fontId="5" fillId="0" borderId="0" xfId="0" applyFont="1"/>
    <xf numFmtId="0" fontId="13" fillId="0" borderId="31" xfId="0" applyFont="1" applyBorder="1"/>
    <xf numFmtId="0" fontId="13" fillId="0" borderId="0" xfId="0" applyFont="1"/>
    <xf numFmtId="0" fontId="14" fillId="0" borderId="0" xfId="0" applyFont="1"/>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vertical="center"/>
    </xf>
    <xf numFmtId="0" fontId="7" fillId="9" borderId="36" xfId="0" applyFont="1" applyFill="1" applyBorder="1" applyAlignment="1">
      <alignment horizontal="center" vertical="center" wrapText="1"/>
    </xf>
    <xf numFmtId="0" fontId="7" fillId="10" borderId="36" xfId="0" applyFont="1" applyFill="1" applyBorder="1" applyAlignment="1">
      <alignment horizontal="center" vertical="center" textRotation="90" wrapText="1"/>
    </xf>
    <xf numFmtId="0" fontId="7" fillId="10" borderId="36" xfId="0" applyFont="1" applyFill="1" applyBorder="1" applyAlignment="1">
      <alignment horizontal="center" vertical="center" wrapText="1"/>
    </xf>
    <xf numFmtId="0" fontId="7" fillId="11" borderId="36" xfId="0" applyFont="1" applyFill="1" applyBorder="1" applyAlignment="1">
      <alignment horizontal="center" vertical="center" textRotation="90" wrapText="1"/>
    </xf>
    <xf numFmtId="0" fontId="5" fillId="0" borderId="37" xfId="0" applyFont="1" applyBorder="1" applyAlignment="1">
      <alignment horizontal="center" vertical="center"/>
    </xf>
    <xf numFmtId="0" fontId="5" fillId="0" borderId="37" xfId="0" applyFont="1" applyBorder="1" applyAlignment="1">
      <alignment horizontal="left" vertical="center" wrapText="1"/>
    </xf>
    <xf numFmtId="0" fontId="5" fillId="0" borderId="37" xfId="0" applyFont="1" applyBorder="1" applyAlignment="1">
      <alignment vertical="center" wrapText="1"/>
    </xf>
    <xf numFmtId="0" fontId="5" fillId="0" borderId="37" xfId="0" applyFont="1" applyBorder="1" applyAlignment="1">
      <alignment horizontal="center" vertical="center" wrapText="1"/>
    </xf>
    <xf numFmtId="0" fontId="5" fillId="2" borderId="37" xfId="0" applyFont="1" applyFill="1" applyBorder="1" applyAlignment="1">
      <alignment horizontal="center" vertical="center"/>
    </xf>
    <xf numFmtId="0" fontId="7" fillId="0" borderId="37" xfId="0" applyFont="1" applyBorder="1" applyAlignment="1">
      <alignment horizontal="center" vertical="center" wrapText="1"/>
    </xf>
    <xf numFmtId="9" fontId="5" fillId="0" borderId="37" xfId="0" applyNumberFormat="1" applyFont="1" applyBorder="1" applyAlignment="1">
      <alignment horizontal="center" vertical="center" wrapText="1"/>
    </xf>
    <xf numFmtId="9" fontId="5" fillId="0" borderId="37" xfId="0" applyNumberFormat="1" applyFont="1" applyBorder="1" applyAlignment="1">
      <alignment vertical="center" wrapText="1"/>
    </xf>
    <xf numFmtId="0" fontId="7" fillId="0" borderId="37" xfId="0" applyFont="1" applyBorder="1" applyAlignment="1">
      <alignment horizontal="center" vertical="center"/>
    </xf>
    <xf numFmtId="0" fontId="5" fillId="2" borderId="37" xfId="0" applyFont="1" applyFill="1" applyBorder="1" applyAlignment="1">
      <alignment horizontal="left" vertical="center" wrapText="1"/>
    </xf>
    <xf numFmtId="0" fontId="5" fillId="0" borderId="37" xfId="0" applyFont="1" applyBorder="1" applyAlignment="1">
      <alignment horizontal="center" vertical="center" textRotation="90"/>
    </xf>
    <xf numFmtId="9" fontId="5" fillId="0" borderId="37" xfId="0" applyNumberFormat="1" applyFont="1" applyBorder="1" applyAlignment="1">
      <alignment horizontal="center" vertical="center"/>
    </xf>
    <xf numFmtId="165" fontId="5" fillId="0" borderId="37" xfId="0" applyNumberFormat="1" applyFont="1" applyBorder="1" applyAlignment="1">
      <alignment horizontal="center" vertical="center"/>
    </xf>
    <xf numFmtId="0" fontId="7" fillId="0" borderId="37" xfId="0" applyFont="1" applyBorder="1" applyAlignment="1">
      <alignment horizontal="center" vertical="center" textRotation="90" wrapText="1"/>
    </xf>
    <xf numFmtId="0" fontId="7" fillId="0" borderId="37" xfId="0" applyFont="1" applyBorder="1" applyAlignment="1">
      <alignment horizontal="center" vertical="center" textRotation="90"/>
    </xf>
    <xf numFmtId="0" fontId="5" fillId="2" borderId="37" xfId="0" applyFont="1" applyFill="1" applyBorder="1" applyAlignment="1">
      <alignment horizontal="center" vertical="center" wrapText="1"/>
    </xf>
    <xf numFmtId="164" fontId="5" fillId="2" borderId="37" xfId="0" applyNumberFormat="1" applyFont="1" applyFill="1" applyBorder="1" applyAlignment="1">
      <alignment horizontal="center" vertical="center"/>
    </xf>
    <xf numFmtId="0" fontId="15" fillId="2" borderId="37"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6" fillId="2" borderId="37" xfId="0" applyFont="1" applyFill="1" applyBorder="1" applyAlignment="1">
      <alignment horizontal="left" vertical="center" wrapText="1"/>
    </xf>
    <xf numFmtId="0" fontId="5" fillId="2" borderId="8" xfId="0" applyFont="1" applyFill="1" applyBorder="1" applyAlignment="1">
      <alignment vertical="center" wrapText="1"/>
    </xf>
    <xf numFmtId="0" fontId="5" fillId="0" borderId="37" xfId="0" applyFont="1" applyBorder="1" applyAlignment="1">
      <alignment horizontal="center" vertical="center" textRotation="90" wrapText="1"/>
    </xf>
    <xf numFmtId="0" fontId="5" fillId="0" borderId="37" xfId="0" applyFont="1" applyBorder="1"/>
    <xf numFmtId="0" fontId="14" fillId="0" borderId="31" xfId="0" applyFont="1" applyBorder="1" applyAlignment="1">
      <alignment vertical="center" wrapText="1"/>
    </xf>
    <xf numFmtId="0" fontId="5" fillId="0" borderId="38" xfId="0" applyFont="1" applyBorder="1" applyAlignment="1">
      <alignment horizontal="left" vertical="center" wrapText="1"/>
    </xf>
    <xf numFmtId="0" fontId="17" fillId="2" borderId="37" xfId="0" applyFont="1" applyFill="1" applyBorder="1" applyAlignment="1">
      <alignment horizontal="center" vertical="center" wrapText="1"/>
    </xf>
    <xf numFmtId="9" fontId="5" fillId="0" borderId="37" xfId="0" applyNumberFormat="1" applyFont="1" applyBorder="1" applyAlignment="1">
      <alignment horizontal="left" vertical="center" wrapText="1"/>
    </xf>
    <xf numFmtId="0" fontId="18" fillId="0" borderId="37" xfId="0" applyFont="1" applyBorder="1" applyAlignment="1">
      <alignment horizontal="center" vertical="center"/>
    </xf>
    <xf numFmtId="164" fontId="19" fillId="2" borderId="37" xfId="0" applyNumberFormat="1" applyFont="1" applyFill="1" applyBorder="1" applyAlignment="1">
      <alignment horizontal="center" vertical="center" wrapText="1"/>
    </xf>
    <xf numFmtId="0" fontId="20" fillId="0" borderId="37" xfId="0" applyFont="1" applyBorder="1" applyAlignment="1">
      <alignment horizontal="center" vertical="center"/>
    </xf>
    <xf numFmtId="0" fontId="21" fillId="0" borderId="37" xfId="0" applyFont="1" applyBorder="1" applyAlignment="1">
      <alignment vertical="center" wrapText="1"/>
    </xf>
    <xf numFmtId="0" fontId="5" fillId="0" borderId="37"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left"/>
    </xf>
    <xf numFmtId="0" fontId="22" fillId="14" borderId="39" xfId="0" applyFont="1" applyFill="1" applyBorder="1" applyAlignment="1">
      <alignment horizontal="center" vertical="center" wrapText="1"/>
    </xf>
    <xf numFmtId="0" fontId="14" fillId="0" borderId="0" xfId="0" applyFont="1" applyAlignment="1">
      <alignment vertical="center"/>
    </xf>
    <xf numFmtId="0" fontId="23" fillId="15" borderId="39" xfId="0" applyFont="1" applyFill="1" applyBorder="1" applyAlignment="1">
      <alignment horizontal="center" vertical="center" wrapText="1"/>
    </xf>
    <xf numFmtId="0" fontId="22" fillId="10" borderId="38" xfId="0" applyFont="1" applyFill="1" applyBorder="1" applyAlignment="1">
      <alignment horizontal="center" vertical="center" wrapText="1"/>
    </xf>
    <xf numFmtId="0" fontId="24" fillId="0" borderId="0" xfId="0" applyFont="1" applyAlignment="1">
      <alignment vertical="center" wrapText="1"/>
    </xf>
    <xf numFmtId="0" fontId="25" fillId="12" borderId="8" xfId="0" applyFont="1" applyFill="1" applyBorder="1" applyAlignment="1">
      <alignment horizontal="center" vertical="center"/>
    </xf>
    <xf numFmtId="0" fontId="25" fillId="0" borderId="0" xfId="0" applyFont="1" applyAlignment="1">
      <alignment horizontal="center" vertical="center"/>
    </xf>
    <xf numFmtId="0" fontId="7" fillId="13" borderId="40"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6" fillId="0" borderId="38" xfId="0" applyFont="1" applyBorder="1" applyAlignment="1">
      <alignment horizontal="left" vertical="center" wrapText="1"/>
    </xf>
    <xf numFmtId="0" fontId="26" fillId="0" borderId="0" xfId="0" applyFont="1" applyAlignment="1">
      <alignment horizontal="left" vertical="center" wrapText="1"/>
    </xf>
    <xf numFmtId="0" fontId="26" fillId="0" borderId="38" xfId="0" applyFont="1" applyBorder="1" applyAlignment="1">
      <alignment horizontal="left" vertical="center"/>
    </xf>
    <xf numFmtId="0" fontId="14" fillId="0" borderId="38" xfId="0" applyFont="1" applyBorder="1" applyAlignment="1">
      <alignment vertical="center"/>
    </xf>
    <xf numFmtId="0" fontId="18" fillId="2" borderId="8" xfId="0" applyFont="1" applyFill="1" applyBorder="1"/>
    <xf numFmtId="0" fontId="5" fillId="2" borderId="42" xfId="0" applyFont="1" applyFill="1" applyBorder="1"/>
    <xf numFmtId="0" fontId="5" fillId="2" borderId="43" xfId="0" applyFont="1" applyFill="1" applyBorder="1"/>
    <xf numFmtId="0" fontId="5" fillId="2" borderId="44" xfId="0" applyFont="1" applyFill="1" applyBorder="1"/>
    <xf numFmtId="0" fontId="29" fillId="2" borderId="55"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56" xfId="0" applyFont="1" applyFill="1" applyBorder="1" applyAlignment="1">
      <alignment horizontal="left" vertical="top" wrapText="1"/>
    </xf>
    <xf numFmtId="0" fontId="5" fillId="2" borderId="55" xfId="0" applyFont="1" applyFill="1" applyBorder="1"/>
    <xf numFmtId="0" fontId="7" fillId="2" borderId="8"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6" xfId="0" applyFont="1" applyFill="1" applyBorder="1"/>
    <xf numFmtId="0" fontId="25" fillId="2" borderId="8" xfId="0" applyFont="1" applyFill="1" applyBorder="1" applyAlignment="1">
      <alignment horizontal="left" vertical="center" wrapText="1"/>
    </xf>
    <xf numFmtId="0" fontId="26" fillId="2" borderId="8" xfId="0" applyFont="1" applyFill="1" applyBorder="1" applyAlignment="1">
      <alignment horizontal="left" vertical="top" wrapText="1"/>
    </xf>
    <xf numFmtId="0" fontId="5" fillId="2" borderId="76" xfId="0" applyFont="1" applyFill="1" applyBorder="1"/>
    <xf numFmtId="0" fontId="5" fillId="2" borderId="77" xfId="0" applyFont="1" applyFill="1" applyBorder="1"/>
    <xf numFmtId="0" fontId="5" fillId="2" borderId="78" xfId="0" applyFont="1" applyFill="1" applyBorder="1"/>
    <xf numFmtId="0" fontId="14" fillId="2" borderId="8" xfId="0" applyFont="1" applyFill="1" applyBorder="1"/>
    <xf numFmtId="0" fontId="36" fillId="2" borderId="8" xfId="0" applyFont="1" applyFill="1" applyBorder="1" applyAlignment="1">
      <alignment vertical="center"/>
    </xf>
    <xf numFmtId="0" fontId="37" fillId="21" borderId="39" xfId="0" applyFont="1" applyFill="1" applyBorder="1" applyAlignment="1">
      <alignment horizontal="center" vertical="center" wrapText="1"/>
    </xf>
    <xf numFmtId="0" fontId="38" fillId="0" borderId="5" xfId="0" applyFont="1" applyBorder="1" applyAlignment="1">
      <alignment horizontal="left" vertical="center" wrapText="1"/>
    </xf>
    <xf numFmtId="0" fontId="18" fillId="0" borderId="0" xfId="0" applyFont="1"/>
    <xf numFmtId="0" fontId="37" fillId="21" borderId="38" xfId="0" applyFont="1" applyFill="1" applyBorder="1" applyAlignment="1">
      <alignment horizontal="center" vertical="center" wrapText="1"/>
    </xf>
    <xf numFmtId="0" fontId="38" fillId="0" borderId="38" xfId="0" applyFont="1" applyBorder="1" applyAlignment="1">
      <alignment horizontal="left" vertical="center" wrapText="1"/>
    </xf>
    <xf numFmtId="0" fontId="1" fillId="0" borderId="0" xfId="0" applyFont="1" applyAlignment="1">
      <alignment horizontal="center" vertical="center" wrapText="1"/>
    </xf>
    <xf numFmtId="0" fontId="40" fillId="22" borderId="8" xfId="0" applyFont="1" applyFill="1" applyBorder="1" applyAlignment="1">
      <alignment horizontal="center" vertical="center" wrapText="1" readingOrder="1"/>
    </xf>
    <xf numFmtId="0" fontId="41" fillId="20" borderId="96" xfId="0" applyFont="1" applyFill="1" applyBorder="1" applyAlignment="1">
      <alignment horizontal="center" vertical="center" wrapText="1" readingOrder="1"/>
    </xf>
    <xf numFmtId="0" fontId="41" fillId="0" borderId="97" xfId="0" applyFont="1" applyBorder="1" applyAlignment="1">
      <alignment horizontal="left" vertical="center" wrapText="1" readingOrder="1"/>
    </xf>
    <xf numFmtId="9" fontId="41" fillId="0" borderId="97" xfId="0" applyNumberFormat="1" applyFont="1" applyBorder="1" applyAlignment="1">
      <alignment horizontal="center" vertical="center" wrapText="1" readingOrder="1"/>
    </xf>
    <xf numFmtId="0" fontId="41" fillId="23" borderId="98" xfId="0" applyFont="1" applyFill="1" applyBorder="1" applyAlignment="1">
      <alignment horizontal="center" vertical="center" wrapText="1" readingOrder="1"/>
    </xf>
    <xf numFmtId="0" fontId="41" fillId="0" borderId="98" xfId="0" applyFont="1" applyBorder="1" applyAlignment="1">
      <alignment horizontal="left" vertical="center" wrapText="1" readingOrder="1"/>
    </xf>
    <xf numFmtId="9" fontId="41" fillId="0" borderId="98" xfId="0" applyNumberFormat="1" applyFont="1" applyBorder="1" applyAlignment="1">
      <alignment horizontal="center" vertical="center" wrapText="1" readingOrder="1"/>
    </xf>
    <xf numFmtId="0" fontId="41" fillId="24" borderId="98" xfId="0" applyFont="1" applyFill="1" applyBorder="1" applyAlignment="1">
      <alignment horizontal="center" vertical="center" wrapText="1" readingOrder="1"/>
    </xf>
    <xf numFmtId="0" fontId="41" fillId="25" borderId="98" xfId="0" applyFont="1" applyFill="1" applyBorder="1" applyAlignment="1">
      <alignment horizontal="center" vertical="center" wrapText="1" readingOrder="1"/>
    </xf>
    <xf numFmtId="0" fontId="42" fillId="26" borderId="98" xfId="0" applyFont="1" applyFill="1" applyBorder="1" applyAlignment="1">
      <alignment horizontal="center" vertical="center" wrapText="1" readingOrder="1"/>
    </xf>
    <xf numFmtId="0" fontId="43" fillId="2" borderId="8" xfId="0" applyFont="1" applyFill="1" applyBorder="1" applyAlignment="1">
      <alignment horizontal="left" vertical="center"/>
    </xf>
    <xf numFmtId="0" fontId="45" fillId="2" borderId="8" xfId="0" applyFont="1" applyFill="1" applyBorder="1" applyAlignment="1">
      <alignment horizontal="center" vertical="center" wrapText="1"/>
    </xf>
    <xf numFmtId="0" fontId="46" fillId="22" borderId="8" xfId="0" applyFont="1" applyFill="1" applyBorder="1" applyAlignment="1">
      <alignment horizontal="center" vertical="center" wrapText="1" readingOrder="1"/>
    </xf>
    <xf numFmtId="0" fontId="47" fillId="2" borderId="8" xfId="0" applyFont="1" applyFill="1" applyBorder="1"/>
    <xf numFmtId="0" fontId="48" fillId="20" borderId="96" xfId="0" applyFont="1" applyFill="1" applyBorder="1" applyAlignment="1">
      <alignment horizontal="center" vertical="center" wrapText="1" readingOrder="1"/>
    </xf>
    <xf numFmtId="0" fontId="48" fillId="0" borderId="97" xfId="0" applyFont="1" applyBorder="1" applyAlignment="1">
      <alignment horizontal="center" vertical="center" wrapText="1" readingOrder="1"/>
    </xf>
    <xf numFmtId="0" fontId="48" fillId="0" borderId="97" xfId="0" applyFont="1" applyBorder="1" applyAlignment="1">
      <alignment horizontal="left" vertical="center" wrapText="1" readingOrder="1"/>
    </xf>
    <xf numFmtId="0" fontId="48" fillId="23" borderId="98" xfId="0" applyFont="1" applyFill="1" applyBorder="1" applyAlignment="1">
      <alignment horizontal="center" vertical="center" wrapText="1" readingOrder="1"/>
    </xf>
    <xf numFmtId="0" fontId="48" fillId="0" borderId="98" xfId="0" applyFont="1" applyBorder="1" applyAlignment="1">
      <alignment horizontal="center" vertical="center" wrapText="1" readingOrder="1"/>
    </xf>
    <xf numFmtId="0" fontId="48" fillId="0" borderId="98" xfId="0" applyFont="1" applyBorder="1" applyAlignment="1">
      <alignment horizontal="left" vertical="center" wrapText="1" readingOrder="1"/>
    </xf>
    <xf numFmtId="0" fontId="48" fillId="24" borderId="98" xfId="0" applyFont="1" applyFill="1" applyBorder="1" applyAlignment="1">
      <alignment horizontal="center" vertical="center" wrapText="1" readingOrder="1"/>
    </xf>
    <xf numFmtId="0" fontId="48" fillId="25" borderId="98" xfId="0" applyFont="1" applyFill="1" applyBorder="1" applyAlignment="1">
      <alignment horizontal="center" vertical="center" wrapText="1" readingOrder="1"/>
    </xf>
    <xf numFmtId="0" fontId="49" fillId="26" borderId="98" xfId="0" applyFont="1" applyFill="1" applyBorder="1" applyAlignment="1">
      <alignment horizontal="center" vertical="center" wrapText="1" readingOrder="1"/>
    </xf>
    <xf numFmtId="0" fontId="50" fillId="2" borderId="8" xfId="0" applyFont="1" applyFill="1" applyBorder="1" applyAlignment="1">
      <alignment horizontal="left" vertical="center" wrapText="1" readingOrder="1"/>
    </xf>
    <xf numFmtId="0" fontId="43" fillId="2" borderId="8" xfId="0" applyFont="1" applyFill="1" applyBorder="1" applyAlignment="1">
      <alignment vertical="center"/>
    </xf>
    <xf numFmtId="0" fontId="47" fillId="0" borderId="0" xfId="0" applyFont="1"/>
    <xf numFmtId="0" fontId="50" fillId="0" borderId="0" xfId="0" applyFont="1" applyAlignment="1">
      <alignment horizontal="left" vertical="center" wrapText="1" readingOrder="1"/>
    </xf>
    <xf numFmtId="0" fontId="51" fillId="0" borderId="0" xfId="0" applyFont="1" applyAlignment="1">
      <alignment vertical="center"/>
    </xf>
    <xf numFmtId="0" fontId="52" fillId="0" borderId="0" xfId="0" applyFont="1"/>
    <xf numFmtId="0" fontId="53" fillId="0" borderId="0" xfId="0" applyFont="1"/>
    <xf numFmtId="0" fontId="54" fillId="0" borderId="0" xfId="0" applyFont="1"/>
    <xf numFmtId="0" fontId="57" fillId="18" borderId="99" xfId="0" applyFont="1" applyFill="1" applyBorder="1" applyAlignment="1">
      <alignment horizontal="center" vertical="center" wrapText="1" readingOrder="1"/>
    </xf>
    <xf numFmtId="0" fontId="57" fillId="18" borderId="100" xfId="0" applyFont="1" applyFill="1" applyBorder="1" applyAlignment="1">
      <alignment horizontal="center" vertical="center" wrapText="1" readingOrder="1"/>
    </xf>
    <xf numFmtId="0" fontId="57" fillId="18" borderId="101" xfId="0" applyFont="1" applyFill="1" applyBorder="1" applyAlignment="1">
      <alignment horizontal="center" vertical="center" wrapText="1" readingOrder="1"/>
    </xf>
    <xf numFmtId="0" fontId="57" fillId="19" borderId="99" xfId="0" applyFont="1" applyFill="1" applyBorder="1" applyAlignment="1">
      <alignment horizontal="center" wrapText="1" readingOrder="1"/>
    </xf>
    <xf numFmtId="0" fontId="57" fillId="19" borderId="100" xfId="0" applyFont="1" applyFill="1" applyBorder="1" applyAlignment="1">
      <alignment horizontal="center" wrapText="1" readingOrder="1"/>
    </xf>
    <xf numFmtId="0" fontId="57" fillId="19" borderId="101" xfId="0" applyFont="1" applyFill="1" applyBorder="1" applyAlignment="1">
      <alignment horizontal="center" wrapText="1" readingOrder="1"/>
    </xf>
    <xf numFmtId="0" fontId="57" fillId="18" borderId="55" xfId="0" applyFont="1" applyFill="1" applyBorder="1" applyAlignment="1">
      <alignment horizontal="center" vertical="center" wrapText="1" readingOrder="1"/>
    </xf>
    <xf numFmtId="0" fontId="57" fillId="18" borderId="8" xfId="0" applyFont="1" applyFill="1" applyBorder="1" applyAlignment="1">
      <alignment horizontal="center" vertical="center" wrapText="1" readingOrder="1"/>
    </xf>
    <xf numFmtId="0" fontId="57" fillId="18" borderId="56" xfId="0" applyFont="1" applyFill="1" applyBorder="1" applyAlignment="1">
      <alignment horizontal="center" vertical="center" wrapText="1" readingOrder="1"/>
    </xf>
    <xf numFmtId="0" fontId="57" fillId="19" borderId="55" xfId="0" applyFont="1" applyFill="1" applyBorder="1" applyAlignment="1">
      <alignment horizontal="center" wrapText="1" readingOrder="1"/>
    </xf>
    <xf numFmtId="0" fontId="57" fillId="19" borderId="8" xfId="0" applyFont="1" applyFill="1" applyBorder="1" applyAlignment="1">
      <alignment horizontal="center" wrapText="1" readingOrder="1"/>
    </xf>
    <xf numFmtId="0" fontId="57" fillId="19" borderId="56" xfId="0" applyFont="1" applyFill="1" applyBorder="1" applyAlignment="1">
      <alignment horizontal="center" wrapText="1" readingOrder="1"/>
    </xf>
    <xf numFmtId="0" fontId="57" fillId="18" borderId="76" xfId="0" applyFont="1" applyFill="1" applyBorder="1" applyAlignment="1">
      <alignment horizontal="center" vertical="center" wrapText="1" readingOrder="1"/>
    </xf>
    <xf numFmtId="0" fontId="57" fillId="18" borderId="77" xfId="0" applyFont="1" applyFill="1" applyBorder="1" applyAlignment="1">
      <alignment horizontal="center" vertical="center" wrapText="1" readingOrder="1"/>
    </xf>
    <xf numFmtId="0" fontId="57" fillId="18" borderId="78" xfId="0" applyFont="1" applyFill="1" applyBorder="1" applyAlignment="1">
      <alignment horizontal="center" vertical="center" wrapText="1" readingOrder="1"/>
    </xf>
    <xf numFmtId="0" fontId="57" fillId="19" borderId="76" xfId="0" applyFont="1" applyFill="1" applyBorder="1" applyAlignment="1">
      <alignment horizontal="center" wrapText="1" readingOrder="1"/>
    </xf>
    <xf numFmtId="0" fontId="57" fillId="19" borderId="77" xfId="0" applyFont="1" applyFill="1" applyBorder="1" applyAlignment="1">
      <alignment horizontal="center" wrapText="1" readingOrder="1"/>
    </xf>
    <xf numFmtId="0" fontId="57" fillId="19" borderId="78" xfId="0" applyFont="1" applyFill="1" applyBorder="1" applyAlignment="1">
      <alignment horizontal="center" wrapText="1" readingOrder="1"/>
    </xf>
    <xf numFmtId="0" fontId="57" fillId="14" borderId="99" xfId="0" applyFont="1" applyFill="1" applyBorder="1" applyAlignment="1">
      <alignment horizontal="center" wrapText="1" readingOrder="1"/>
    </xf>
    <xf numFmtId="0" fontId="57" fillId="14" borderId="100" xfId="0" applyFont="1" applyFill="1" applyBorder="1" applyAlignment="1">
      <alignment horizontal="center" wrapText="1" readingOrder="1"/>
    </xf>
    <xf numFmtId="0" fontId="57" fillId="14" borderId="101" xfId="0" applyFont="1" applyFill="1" applyBorder="1" applyAlignment="1">
      <alignment horizontal="center" wrapText="1" readingOrder="1"/>
    </xf>
    <xf numFmtId="0" fontId="57" fillId="14" borderId="55" xfId="0" applyFont="1" applyFill="1" applyBorder="1" applyAlignment="1">
      <alignment horizontal="center" wrapText="1" readingOrder="1"/>
    </xf>
    <xf numFmtId="0" fontId="57" fillId="14" borderId="8" xfId="0" applyFont="1" applyFill="1" applyBorder="1" applyAlignment="1">
      <alignment horizontal="center" wrapText="1" readingOrder="1"/>
    </xf>
    <xf numFmtId="0" fontId="57" fillId="14" borderId="56" xfId="0" applyFont="1" applyFill="1" applyBorder="1" applyAlignment="1">
      <alignment horizontal="center" wrapText="1" readingOrder="1"/>
    </xf>
    <xf numFmtId="0" fontId="57" fillId="14" borderId="76" xfId="0" applyFont="1" applyFill="1" applyBorder="1" applyAlignment="1">
      <alignment horizontal="center" wrapText="1" readingOrder="1"/>
    </xf>
    <xf numFmtId="0" fontId="57" fillId="14" borderId="77" xfId="0" applyFont="1" applyFill="1" applyBorder="1" applyAlignment="1">
      <alignment horizontal="center" wrapText="1" readingOrder="1"/>
    </xf>
    <xf numFmtId="0" fontId="57" fillId="14" borderId="78" xfId="0" applyFont="1" applyFill="1" applyBorder="1" applyAlignment="1">
      <alignment horizontal="center" wrapText="1" readingOrder="1"/>
    </xf>
    <xf numFmtId="0" fontId="57" fillId="20" borderId="99" xfId="0" applyFont="1" applyFill="1" applyBorder="1" applyAlignment="1">
      <alignment horizontal="center" wrapText="1" readingOrder="1"/>
    </xf>
    <xf numFmtId="0" fontId="57" fillId="20" borderId="100" xfId="0" applyFont="1" applyFill="1" applyBorder="1" applyAlignment="1">
      <alignment horizontal="center" wrapText="1" readingOrder="1"/>
    </xf>
    <xf numFmtId="0" fontId="57" fillId="20" borderId="101" xfId="0" applyFont="1" applyFill="1" applyBorder="1" applyAlignment="1">
      <alignment horizontal="center" wrapText="1" readingOrder="1"/>
    </xf>
    <xf numFmtId="0" fontId="57" fillId="20" borderId="55" xfId="0" applyFont="1" applyFill="1" applyBorder="1" applyAlignment="1">
      <alignment horizontal="center" wrapText="1" readingOrder="1"/>
    </xf>
    <xf numFmtId="0" fontId="57" fillId="20" borderId="8" xfId="0" applyFont="1" applyFill="1" applyBorder="1" applyAlignment="1">
      <alignment horizontal="center" wrapText="1" readingOrder="1"/>
    </xf>
    <xf numFmtId="0" fontId="57" fillId="20" borderId="56" xfId="0" applyFont="1" applyFill="1" applyBorder="1" applyAlignment="1">
      <alignment horizontal="center" wrapText="1" readingOrder="1"/>
    </xf>
    <xf numFmtId="0" fontId="57" fillId="20" borderId="76" xfId="0" applyFont="1" applyFill="1" applyBorder="1" applyAlignment="1">
      <alignment horizontal="center" wrapText="1" readingOrder="1"/>
    </xf>
    <xf numFmtId="0" fontId="57" fillId="20" borderId="77" xfId="0" applyFont="1" applyFill="1" applyBorder="1" applyAlignment="1">
      <alignment horizontal="center" wrapText="1" readingOrder="1"/>
    </xf>
    <xf numFmtId="0" fontId="57" fillId="20" borderId="78" xfId="0" applyFont="1" applyFill="1" applyBorder="1" applyAlignment="1">
      <alignment horizontal="center" wrapText="1" readingOrder="1"/>
    </xf>
    <xf numFmtId="0" fontId="59" fillId="14" borderId="100" xfId="0" applyFont="1" applyFill="1" applyBorder="1" applyAlignment="1">
      <alignment horizontal="center" wrapText="1" readingOrder="1"/>
    </xf>
    <xf numFmtId="0" fontId="61" fillId="2" borderId="8" xfId="0" applyFont="1" applyFill="1" applyBorder="1"/>
    <xf numFmtId="0" fontId="62" fillId="11" borderId="103" xfId="0" applyFont="1" applyFill="1" applyBorder="1" applyAlignment="1">
      <alignment horizontal="center" vertical="center" wrapText="1" readingOrder="1"/>
    </xf>
    <xf numFmtId="0" fontId="62" fillId="11" borderId="104" xfId="0" applyFont="1" applyFill="1" applyBorder="1" applyAlignment="1">
      <alignment horizontal="center" vertical="center" wrapText="1" readingOrder="1"/>
    </xf>
    <xf numFmtId="0" fontId="62" fillId="2" borderId="107" xfId="0" applyFont="1" applyFill="1" applyBorder="1" applyAlignment="1">
      <alignment horizontal="center" vertical="center" wrapText="1" readingOrder="1"/>
    </xf>
    <xf numFmtId="0" fontId="37" fillId="2" borderId="107" xfId="0" applyFont="1" applyFill="1" applyBorder="1" applyAlignment="1">
      <alignment horizontal="left" vertical="center" wrapText="1" readingOrder="1"/>
    </xf>
    <xf numFmtId="9" fontId="62" fillId="2" borderId="108" xfId="0" applyNumberFormat="1" applyFont="1" applyFill="1" applyBorder="1" applyAlignment="1">
      <alignment horizontal="center" vertical="center" wrapText="1" readingOrder="1"/>
    </xf>
    <xf numFmtId="0" fontId="62" fillId="2" borderId="38" xfId="0" applyFont="1" applyFill="1" applyBorder="1" applyAlignment="1">
      <alignment horizontal="center" vertical="center" wrapText="1" readingOrder="1"/>
    </xf>
    <xf numFmtId="0" fontId="37" fillId="2" borderId="38" xfId="0" applyFont="1" applyFill="1" applyBorder="1" applyAlignment="1">
      <alignment horizontal="left" vertical="center" wrapText="1" readingOrder="1"/>
    </xf>
    <xf numFmtId="9" fontId="62" fillId="2" borderId="111" xfId="0" applyNumberFormat="1" applyFont="1" applyFill="1" applyBorder="1" applyAlignment="1">
      <alignment horizontal="center" vertical="center" wrapText="1" readingOrder="1"/>
    </xf>
    <xf numFmtId="0" fontId="37" fillId="2" borderId="111" xfId="0" applyFont="1" applyFill="1" applyBorder="1" applyAlignment="1">
      <alignment horizontal="center" vertical="center" wrapText="1" readingOrder="1"/>
    </xf>
    <xf numFmtId="0" fontId="62" fillId="2" borderId="118" xfId="0" applyFont="1" applyFill="1" applyBorder="1" applyAlignment="1">
      <alignment horizontal="center" vertical="center" wrapText="1" readingOrder="1"/>
    </xf>
    <xf numFmtId="0" fontId="37" fillId="2" borderId="118" xfId="0" applyFont="1" applyFill="1" applyBorder="1" applyAlignment="1">
      <alignment horizontal="left" vertical="center" wrapText="1" readingOrder="1"/>
    </xf>
    <xf numFmtId="0" fontId="37" fillId="2" borderId="119" xfId="0" applyFont="1" applyFill="1" applyBorder="1" applyAlignment="1">
      <alignment horizontal="center" vertical="center" wrapText="1" readingOrder="1"/>
    </xf>
    <xf numFmtId="0" fontId="25" fillId="2" borderId="8" xfId="0" applyFont="1" applyFill="1" applyBorder="1"/>
    <xf numFmtId="0" fontId="63" fillId="0" borderId="0" xfId="0" applyFont="1" applyAlignment="1">
      <alignment vertical="center"/>
    </xf>
    <xf numFmtId="0" fontId="18" fillId="0" borderId="0" xfId="0" applyFont="1" applyAlignment="1">
      <alignment horizontal="center"/>
    </xf>
    <xf numFmtId="0" fontId="64" fillId="22" borderId="38" xfId="0" applyFont="1" applyFill="1" applyBorder="1" applyAlignment="1">
      <alignment horizontal="center" vertical="center" wrapText="1"/>
    </xf>
    <xf numFmtId="0" fontId="65" fillId="0" borderId="113"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38" xfId="0" applyFont="1" applyBorder="1" applyAlignment="1">
      <alignment vertical="center" wrapText="1"/>
    </xf>
    <xf numFmtId="0" fontId="63" fillId="0" borderId="38" xfId="0" applyFont="1" applyBorder="1" applyAlignment="1">
      <alignment vertical="center" wrapText="1"/>
    </xf>
    <xf numFmtId="0" fontId="66" fillId="0" borderId="0" xfId="0" applyFont="1"/>
    <xf numFmtId="0" fontId="67" fillId="0" borderId="98" xfId="0" applyFont="1" applyBorder="1" applyAlignment="1">
      <alignment horizontal="left" vertical="center" wrapText="1" readingOrder="1"/>
    </xf>
    <xf numFmtId="0" fontId="1" fillId="2" borderId="1" xfId="0" applyFont="1" applyFill="1" applyBorder="1" applyAlignment="1">
      <alignment horizontal="center" vertical="center"/>
    </xf>
    <xf numFmtId="0" fontId="2" fillId="0" borderId="2" xfId="0" applyFont="1" applyBorder="1"/>
    <xf numFmtId="0" fontId="2" fillId="0" borderId="9" xfId="0" applyFont="1" applyBorder="1"/>
    <xf numFmtId="0" fontId="0" fillId="0" borderId="0" xfId="0" applyFont="1" applyAlignment="1"/>
    <xf numFmtId="0" fontId="2" fillId="0" borderId="10" xfId="0" applyFont="1" applyBorder="1"/>
    <xf numFmtId="0" fontId="2" fillId="0" borderId="11" xfId="0" applyFont="1" applyBorder="1"/>
    <xf numFmtId="0" fontId="3" fillId="2" borderId="3" xfId="0" applyFont="1" applyFill="1" applyBorder="1" applyAlignment="1">
      <alignment horizontal="center" vertical="center"/>
    </xf>
    <xf numFmtId="0" fontId="2" fillId="0" borderId="4" xfId="0" applyFont="1" applyBorder="1"/>
    <xf numFmtId="0" fontId="2" fillId="0" borderId="5" xfId="0" applyFont="1" applyBorder="1"/>
    <xf numFmtId="0" fontId="3" fillId="2" borderId="6" xfId="0" applyFont="1" applyFill="1" applyBorder="1" applyAlignment="1">
      <alignment horizontal="center" vertical="center"/>
    </xf>
    <xf numFmtId="0" fontId="2" fillId="0" borderId="7" xfId="0" applyFont="1" applyBorder="1"/>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6" fillId="8" borderId="20" xfId="0" applyFont="1" applyFill="1" applyBorder="1" applyAlignment="1">
      <alignment horizontal="center" vertical="center"/>
    </xf>
    <xf numFmtId="0" fontId="2" fillId="0" borderId="21" xfId="0" applyFont="1" applyBorder="1"/>
    <xf numFmtId="0" fontId="7" fillId="12" borderId="25" xfId="0" applyFont="1" applyFill="1" applyBorder="1" applyAlignment="1">
      <alignment horizontal="center" vertical="center"/>
    </xf>
    <xf numFmtId="0" fontId="2" fillId="0" borderId="26" xfId="0" applyFont="1" applyBorder="1"/>
    <xf numFmtId="0" fontId="7" fillId="7" borderId="27" xfId="0" applyFont="1" applyFill="1" applyBorder="1" applyAlignment="1">
      <alignment horizontal="center" vertical="center" wrapText="1"/>
    </xf>
    <xf numFmtId="0" fontId="3" fillId="2" borderId="12" xfId="0" applyFont="1" applyFill="1" applyBorder="1" applyAlignment="1">
      <alignment horizontal="center" vertical="center"/>
    </xf>
    <xf numFmtId="0" fontId="2" fillId="0" borderId="13" xfId="0" applyFont="1" applyBorder="1"/>
    <xf numFmtId="0" fontId="2" fillId="0" borderId="14" xfId="0" applyFont="1" applyBorder="1"/>
    <xf numFmtId="0" fontId="6" fillId="3" borderId="15" xfId="0" applyFont="1" applyFill="1" applyBorder="1" applyAlignment="1">
      <alignment horizontal="center" vertical="center"/>
    </xf>
    <xf numFmtId="0" fontId="2" fillId="0" borderId="16" xfId="0" applyFont="1" applyBorder="1"/>
    <xf numFmtId="0" fontId="2" fillId="0" borderId="17" xfId="0" applyFont="1" applyBorder="1"/>
    <xf numFmtId="0" fontId="7" fillId="4" borderId="15" xfId="0" applyFont="1" applyFill="1" applyBorder="1" applyAlignment="1">
      <alignment horizontal="center" vertical="center"/>
    </xf>
    <xf numFmtId="0" fontId="6" fillId="5" borderId="15" xfId="0" applyFont="1" applyFill="1" applyBorder="1" applyAlignment="1">
      <alignment horizontal="center" vertical="center"/>
    </xf>
    <xf numFmtId="0" fontId="7" fillId="6" borderId="15" xfId="0" applyFont="1" applyFill="1" applyBorder="1" applyAlignment="1">
      <alignment horizontal="center" vertical="center"/>
    </xf>
    <xf numFmtId="0" fontId="7" fillId="10" borderId="15" xfId="0" applyFont="1" applyFill="1" applyBorder="1" applyAlignment="1">
      <alignment horizontal="center"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7" fillId="5"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7"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7" fillId="8" borderId="25" xfId="0" applyFont="1" applyFill="1" applyBorder="1" applyAlignment="1">
      <alignment horizontal="center" vertical="center"/>
    </xf>
    <xf numFmtId="0" fontId="25" fillId="2" borderId="65" xfId="0" applyFont="1" applyFill="1" applyBorder="1" applyAlignment="1">
      <alignment horizontal="left" vertical="center" wrapText="1"/>
    </xf>
    <xf numFmtId="0" fontId="2" fillId="0" borderId="66" xfId="0" applyFont="1" applyBorder="1"/>
    <xf numFmtId="0" fontId="25" fillId="2" borderId="69" xfId="0" applyFont="1" applyFill="1" applyBorder="1" applyAlignment="1">
      <alignment horizontal="left" vertical="center" wrapText="1"/>
    </xf>
    <xf numFmtId="0" fontId="2" fillId="0" borderId="70" xfId="0" applyFont="1" applyBorder="1"/>
    <xf numFmtId="0" fontId="27" fillId="16" borderId="6" xfId="0" applyFont="1" applyFill="1" applyBorder="1" applyAlignment="1">
      <alignment horizontal="center" vertical="center" wrapText="1"/>
    </xf>
    <xf numFmtId="0" fontId="2" fillId="0" borderId="41" xfId="0" applyFont="1" applyBorder="1"/>
    <xf numFmtId="0" fontId="5" fillId="0" borderId="9" xfId="0" applyFont="1" applyBorder="1" applyAlignment="1">
      <alignment horizontal="left" vertical="center" wrapText="1"/>
    </xf>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28" fillId="2" borderId="49" xfId="0" quotePrefix="1" applyFont="1" applyFill="1" applyBorder="1" applyAlignment="1">
      <alignment horizontal="left" vertical="top" wrapText="1"/>
    </xf>
    <xf numFmtId="0" fontId="2" fillId="0" borderId="50" xfId="0" applyFont="1" applyBorder="1"/>
    <xf numFmtId="0" fontId="2" fillId="0" borderId="51" xfId="0" applyFont="1" applyBorder="1"/>
    <xf numFmtId="0" fontId="18" fillId="2" borderId="52" xfId="0" applyFont="1" applyFill="1" applyBorder="1" applyAlignment="1">
      <alignment horizontal="left" vertical="center" wrapText="1"/>
    </xf>
    <xf numFmtId="0" fontId="2" fillId="0" borderId="53" xfId="0" applyFont="1" applyBorder="1"/>
    <xf numFmtId="0" fontId="2" fillId="0" borderId="54" xfId="0" applyFont="1" applyBorder="1"/>
    <xf numFmtId="0" fontId="5" fillId="0" borderId="9" xfId="0" applyFont="1" applyBorder="1" applyAlignment="1">
      <alignment horizontal="left" vertical="top" wrapText="1"/>
    </xf>
    <xf numFmtId="0" fontId="25" fillId="16" borderId="57" xfId="0" applyFont="1" applyFill="1" applyBorder="1" applyAlignment="1">
      <alignment horizontal="center" vertical="center" wrapText="1"/>
    </xf>
    <xf numFmtId="0" fontId="2" fillId="0" borderId="58" xfId="0" applyFont="1" applyBorder="1"/>
    <xf numFmtId="0" fontId="25" fillId="16" borderId="59" xfId="0" applyFont="1" applyFill="1" applyBorder="1" applyAlignment="1">
      <alignment horizontal="center" vertical="center"/>
    </xf>
    <xf numFmtId="0" fontId="2" fillId="0" borderId="60" xfId="0" applyFont="1" applyBorder="1"/>
    <xf numFmtId="0" fontId="25" fillId="2" borderId="61" xfId="0" applyFont="1" applyFill="1" applyBorder="1" applyAlignment="1">
      <alignment horizontal="left" vertical="top" wrapText="1" readingOrder="1"/>
    </xf>
    <xf numFmtId="0" fontId="2" fillId="0" borderId="62" xfId="0" applyFont="1" applyBorder="1"/>
    <xf numFmtId="0" fontId="26" fillId="2" borderId="63" xfId="0" applyFont="1" applyFill="1" applyBorder="1" applyAlignment="1">
      <alignment horizontal="left" vertical="center" wrapText="1"/>
    </xf>
    <xf numFmtId="0" fontId="2" fillId="0" borderId="64" xfId="0" applyFont="1" applyBorder="1"/>
    <xf numFmtId="0" fontId="26" fillId="2" borderId="67" xfId="0" applyFont="1" applyFill="1" applyBorder="1" applyAlignment="1">
      <alignment horizontal="left" vertical="center" wrapText="1"/>
    </xf>
    <xf numFmtId="0" fontId="2" fillId="0" borderId="68" xfId="0" applyFont="1" applyBorder="1"/>
    <xf numFmtId="0" fontId="26" fillId="2" borderId="71" xfId="0" applyFont="1" applyFill="1" applyBorder="1" applyAlignment="1">
      <alignment horizontal="left" vertical="center" wrapText="1"/>
    </xf>
    <xf numFmtId="0" fontId="2" fillId="0" borderId="72" xfId="0" applyFont="1" applyBorder="1"/>
    <xf numFmtId="0" fontId="5" fillId="2" borderId="73" xfId="0" applyFont="1" applyFill="1" applyBorder="1" applyAlignment="1">
      <alignment horizontal="left" vertical="top" wrapText="1"/>
    </xf>
    <xf numFmtId="0" fontId="2" fillId="0" borderId="74" xfId="0" applyFont="1" applyBorder="1"/>
    <xf numFmtId="0" fontId="2" fillId="0" borderId="75" xfId="0" applyFont="1" applyBorder="1"/>
    <xf numFmtId="0" fontId="34" fillId="18" borderId="79" xfId="0" applyFont="1" applyFill="1" applyBorder="1" applyAlignment="1">
      <alignment horizontal="center" vertical="center" wrapText="1" readingOrder="1"/>
    </xf>
    <xf numFmtId="0" fontId="2" fillId="0" borderId="82" xfId="0" applyFont="1" applyBorder="1"/>
    <xf numFmtId="0" fontId="2" fillId="0" borderId="81" xfId="0" applyFont="1" applyBorder="1"/>
    <xf numFmtId="0" fontId="34" fillId="18" borderId="90" xfId="0" applyFont="1" applyFill="1" applyBorder="1" applyAlignment="1">
      <alignment horizontal="center" vertical="center" wrapText="1" readingOrder="1"/>
    </xf>
    <xf numFmtId="0" fontId="2" fillId="0" borderId="80" xfId="0" applyFont="1" applyBorder="1"/>
    <xf numFmtId="0" fontId="34" fillId="19" borderId="90" xfId="0" applyFont="1" applyFill="1" applyBorder="1" applyAlignment="1">
      <alignment horizontal="center" wrapText="1" readingOrder="1"/>
    </xf>
    <xf numFmtId="0" fontId="34" fillId="19" borderId="79" xfId="0" applyFont="1" applyFill="1" applyBorder="1" applyAlignment="1">
      <alignment horizontal="center" wrapText="1" readingOrder="1"/>
    </xf>
    <xf numFmtId="0" fontId="34" fillId="18" borderId="1" xfId="0" applyFont="1" applyFill="1" applyBorder="1" applyAlignment="1">
      <alignment horizontal="center" vertical="center" wrapText="1" readingOrder="1"/>
    </xf>
    <xf numFmtId="0" fontId="34" fillId="18" borderId="84" xfId="0" applyFont="1" applyFill="1" applyBorder="1" applyAlignment="1">
      <alignment horizontal="center" vertical="center" wrapText="1" readingOrder="1"/>
    </xf>
    <xf numFmtId="0" fontId="2" fillId="0" borderId="92" xfId="0" applyFont="1" applyBorder="1"/>
    <xf numFmtId="0" fontId="2" fillId="0" borderId="91" xfId="0" applyFont="1" applyBorder="1"/>
    <xf numFmtId="0" fontId="34" fillId="14" borderId="84" xfId="0" applyFont="1" applyFill="1" applyBorder="1" applyAlignment="1">
      <alignment horizontal="center" wrapText="1" readingOrder="1"/>
    </xf>
    <xf numFmtId="0" fontId="2" fillId="0" borderId="83" xfId="0" applyFont="1" applyBorder="1"/>
    <xf numFmtId="0" fontId="34" fillId="14" borderId="1" xfId="0" applyFont="1" applyFill="1" applyBorder="1" applyAlignment="1">
      <alignment horizontal="center" wrapText="1" readingOrder="1"/>
    </xf>
    <xf numFmtId="0" fontId="34" fillId="19" borderId="1" xfId="0" applyFont="1" applyFill="1" applyBorder="1" applyAlignment="1">
      <alignment horizontal="center" wrapText="1" readingOrder="1"/>
    </xf>
    <xf numFmtId="0" fontId="34" fillId="19" borderId="84" xfId="0" applyFont="1" applyFill="1" applyBorder="1" applyAlignment="1">
      <alignment horizontal="center" wrapText="1" readingOrder="1"/>
    </xf>
    <xf numFmtId="0" fontId="34" fillId="14" borderId="79" xfId="0" applyFont="1" applyFill="1" applyBorder="1" applyAlignment="1">
      <alignment horizontal="center" wrapText="1" readingOrder="1"/>
    </xf>
    <xf numFmtId="0" fontId="34" fillId="14" borderId="90" xfId="0" applyFont="1" applyFill="1" applyBorder="1" applyAlignment="1">
      <alignment horizontal="center" wrapText="1" readingOrder="1"/>
    </xf>
    <xf numFmtId="0" fontId="35" fillId="20" borderId="85" xfId="0" applyFont="1" applyFill="1" applyBorder="1" applyAlignment="1">
      <alignment horizontal="center" vertical="center" wrapText="1" readingOrder="1"/>
    </xf>
    <xf numFmtId="0" fontId="2" fillId="0" borderId="86" xfId="0" applyFont="1" applyBorder="1"/>
    <xf numFmtId="0" fontId="2" fillId="0" borderId="87" xfId="0" applyFont="1" applyBorder="1"/>
    <xf numFmtId="0" fontId="2" fillId="0" borderId="88" xfId="0" applyFont="1" applyBorder="1"/>
    <xf numFmtId="0" fontId="2" fillId="0" borderId="89" xfId="0" applyFont="1" applyBorder="1"/>
    <xf numFmtId="0" fontId="2" fillId="0" borderId="93" xfId="0" applyFont="1" applyBorder="1"/>
    <xf numFmtId="0" fontId="2" fillId="0" borderId="94" xfId="0" applyFont="1" applyBorder="1"/>
    <xf numFmtId="0" fontId="2" fillId="0" borderId="95" xfId="0" applyFont="1" applyBorder="1"/>
    <xf numFmtId="0" fontId="35" fillId="19" borderId="85" xfId="0" applyFont="1" applyFill="1" applyBorder="1" applyAlignment="1">
      <alignment horizontal="center" vertical="center" wrapText="1" readingOrder="1"/>
    </xf>
    <xf numFmtId="0" fontId="35" fillId="18" borderId="85" xfId="0" applyFont="1" applyFill="1" applyBorder="1" applyAlignment="1">
      <alignment horizontal="center" vertical="center" wrapText="1" readingOrder="1"/>
    </xf>
    <xf numFmtId="0" fontId="35" fillId="14" borderId="85" xfId="0" applyFont="1" applyFill="1" applyBorder="1" applyAlignment="1">
      <alignment horizontal="center" vertical="center" wrapText="1" readingOrder="1"/>
    </xf>
    <xf numFmtId="0" fontId="34" fillId="20" borderId="79" xfId="0" applyFont="1" applyFill="1" applyBorder="1" applyAlignment="1">
      <alignment horizontal="center" wrapText="1" readingOrder="1"/>
    </xf>
    <xf numFmtId="0" fontId="33" fillId="0" borderId="1" xfId="0" applyFont="1" applyBorder="1" applyAlignment="1">
      <alignment horizontal="center" vertical="center" wrapText="1"/>
    </xf>
    <xf numFmtId="0" fontId="34" fillId="20" borderId="1" xfId="0" applyFont="1" applyFill="1" applyBorder="1" applyAlignment="1">
      <alignment horizontal="center" wrapText="1" readingOrder="1"/>
    </xf>
    <xf numFmtId="0" fontId="34" fillId="20" borderId="90" xfId="0" applyFont="1" applyFill="1" applyBorder="1" applyAlignment="1">
      <alignment horizontal="center" wrapText="1" readingOrder="1"/>
    </xf>
    <xf numFmtId="0" fontId="34" fillId="20" borderId="84" xfId="0" applyFont="1" applyFill="1" applyBorder="1" applyAlignment="1">
      <alignment horizontal="center" wrapText="1" readingOrder="1"/>
    </xf>
    <xf numFmtId="0" fontId="31" fillId="0" borderId="0" xfId="0" applyFont="1" applyAlignment="1">
      <alignment horizontal="center" vertical="center" wrapText="1"/>
    </xf>
    <xf numFmtId="0" fontId="32" fillId="17" borderId="79" xfId="0" applyFont="1" applyFill="1" applyBorder="1" applyAlignment="1">
      <alignment horizontal="center" vertical="center" wrapText="1" readingOrder="1"/>
    </xf>
    <xf numFmtId="0" fontId="32" fillId="17" borderId="79" xfId="0" applyFont="1" applyFill="1" applyBorder="1" applyAlignment="1">
      <alignment horizontal="center" vertical="center" textRotation="90" wrapText="1" readingOrder="1"/>
    </xf>
    <xf numFmtId="0" fontId="30" fillId="0" borderId="7" xfId="0" applyFont="1" applyBorder="1" applyAlignment="1">
      <alignment horizontal="center"/>
    </xf>
    <xf numFmtId="0" fontId="39" fillId="0" borderId="0" xfId="0" applyFont="1" applyAlignment="1">
      <alignment horizontal="center" vertical="center"/>
    </xf>
    <xf numFmtId="0" fontId="44" fillId="0" borderId="0" xfId="0" applyFont="1" applyAlignment="1">
      <alignment horizontal="center" vertical="center"/>
    </xf>
    <xf numFmtId="0" fontId="58" fillId="18" borderId="85" xfId="0" applyFont="1" applyFill="1" applyBorder="1" applyAlignment="1">
      <alignment horizontal="center" vertical="center" wrapText="1" readingOrder="1"/>
    </xf>
    <xf numFmtId="0" fontId="58" fillId="14" borderId="85" xfId="0" applyFont="1" applyFill="1" applyBorder="1" applyAlignment="1">
      <alignment horizontal="center" vertical="center" wrapText="1" readingOrder="1"/>
    </xf>
    <xf numFmtId="0" fontId="58" fillId="19" borderId="85" xfId="0" applyFont="1" applyFill="1" applyBorder="1" applyAlignment="1">
      <alignment horizontal="center" vertical="center" wrapText="1" readingOrder="1"/>
    </xf>
    <xf numFmtId="0" fontId="58" fillId="20" borderId="85" xfId="0" applyFont="1" applyFill="1" applyBorder="1" applyAlignment="1">
      <alignment horizontal="center" vertical="center" wrapText="1" readingOrder="1"/>
    </xf>
    <xf numFmtId="0" fontId="56" fillId="0" borderId="1" xfId="0" applyFont="1" applyBorder="1" applyAlignment="1">
      <alignment horizontal="center" vertical="center" wrapText="1"/>
    </xf>
    <xf numFmtId="0" fontId="55" fillId="0" borderId="0" xfId="0" applyFont="1" applyAlignment="1">
      <alignment horizontal="center" vertical="center" wrapText="1"/>
    </xf>
    <xf numFmtId="0" fontId="62" fillId="2" borderId="113" xfId="0" applyFont="1" applyFill="1" applyBorder="1" applyAlignment="1">
      <alignment horizontal="center" vertical="center" wrapText="1" readingOrder="1"/>
    </xf>
    <xf numFmtId="0" fontId="2" fillId="0" borderId="112" xfId="0" applyFont="1" applyBorder="1"/>
    <xf numFmtId="0" fontId="2" fillId="0" borderId="117" xfId="0" applyFont="1" applyBorder="1"/>
    <xf numFmtId="0" fontId="60" fillId="11" borderId="3" xfId="0" applyFont="1" applyFill="1" applyBorder="1" applyAlignment="1">
      <alignment horizontal="center" vertical="center" wrapText="1" readingOrder="1"/>
    </xf>
    <xf numFmtId="0" fontId="62" fillId="11" borderId="3" xfId="0" applyFont="1" applyFill="1" applyBorder="1" applyAlignment="1">
      <alignment horizontal="center" vertical="center" wrapText="1" readingOrder="1"/>
    </xf>
    <xf numFmtId="0" fontId="2" fillId="0" borderId="102" xfId="0" applyFont="1" applyBorder="1"/>
    <xf numFmtId="0" fontId="62" fillId="2" borderId="105" xfId="0" applyFont="1" applyFill="1" applyBorder="1" applyAlignment="1">
      <alignment horizontal="center" vertical="center" wrapText="1" readingOrder="1"/>
    </xf>
    <xf numFmtId="0" fontId="2" fillId="0" borderId="109" xfId="0" applyFont="1" applyBorder="1"/>
    <xf numFmtId="0" fontId="2" fillId="0" borderId="114" xfId="0" applyFont="1" applyBorder="1"/>
    <xf numFmtId="0" fontId="62" fillId="2" borderId="106" xfId="0" applyFont="1" applyFill="1" applyBorder="1" applyAlignment="1">
      <alignment horizontal="center" vertical="center" wrapText="1" readingOrder="1"/>
    </xf>
    <xf numFmtId="0" fontId="2" fillId="0" borderId="110" xfId="0" applyFont="1" applyBorder="1"/>
    <xf numFmtId="0" fontId="62" fillId="2" borderId="115" xfId="0" applyFont="1" applyFill="1" applyBorder="1" applyAlignment="1">
      <alignment horizontal="center" vertical="center" wrapText="1" readingOrder="1"/>
    </xf>
    <xf numFmtId="0" fontId="2" fillId="0" borderId="116" xfId="0" applyFont="1" applyBorder="1"/>
    <xf numFmtId="0" fontId="61" fillId="2" borderId="120" xfId="0" applyFont="1" applyFill="1" applyBorder="1" applyAlignment="1">
      <alignment horizontal="left" vertical="center" wrapText="1"/>
    </xf>
    <xf numFmtId="0" fontId="65" fillId="0" borderId="113" xfId="0" applyFont="1" applyBorder="1" applyAlignment="1">
      <alignment horizontal="center" vertical="center" wrapText="1"/>
    </xf>
  </cellXfs>
  <cellStyles count="1">
    <cellStyle name="Normal" xfId="0" builtinId="0"/>
  </cellStyles>
  <dxfs count="39">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1438275</xdr:colOff>
      <xdr:row>0</xdr:row>
      <xdr:rowOff>0</xdr:rowOff>
    </xdr:from>
    <xdr:ext cx="942975" cy="7429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1447800</xdr:colOff>
      <xdr:row>0</xdr:row>
      <xdr:rowOff>9525</xdr:rowOff>
    </xdr:from>
    <xdr:ext cx="1123950" cy="9334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BB1000"/>
  <sheetViews>
    <sheetView tabSelected="1" workbookViewId="0">
      <selection sqref="A1:C3"/>
    </sheetView>
  </sheetViews>
  <sheetFormatPr baseColWidth="10" defaultColWidth="14.42578125" defaultRowHeight="15" customHeight="1"/>
  <cols>
    <col min="1" max="1" width="9.85546875" customWidth="1"/>
    <col min="2" max="2" width="33" customWidth="1"/>
    <col min="3" max="3" width="41.5703125" customWidth="1"/>
    <col min="4" max="4" width="35.5703125" customWidth="1"/>
    <col min="5" max="5" width="20.28515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73.28515625" customWidth="1"/>
    <col min="20" max="20" width="33.42578125" customWidth="1"/>
    <col min="21" max="21" width="15.140625" customWidth="1"/>
    <col min="22" max="27" width="11.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10.5703125" customWidth="1"/>
    <col min="38" max="38" width="11.42578125" customWidth="1"/>
    <col min="39" max="39" width="5.7109375" customWidth="1"/>
    <col min="40" max="40" width="10.5703125" customWidth="1"/>
    <col min="41" max="41" width="15.28515625" customWidth="1"/>
    <col min="42" max="42" width="16.28515625" customWidth="1"/>
    <col min="43" max="43" width="42.28515625" customWidth="1"/>
    <col min="44" max="44" width="33.140625" customWidth="1"/>
    <col min="45" max="54" width="11.42578125" customWidth="1"/>
  </cols>
  <sheetData>
    <row r="1" spans="1:54" ht="21.75" customHeight="1">
      <c r="A1" s="221"/>
      <c r="B1" s="222"/>
      <c r="C1" s="222"/>
      <c r="D1" s="227" t="s">
        <v>0</v>
      </c>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9"/>
      <c r="AL1" s="230" t="s">
        <v>1</v>
      </c>
      <c r="AM1" s="231"/>
      <c r="AN1" s="231"/>
      <c r="AO1" s="232" t="s">
        <v>2</v>
      </c>
      <c r="AP1" s="229"/>
      <c r="AQ1" s="1"/>
      <c r="AR1" s="1"/>
      <c r="AS1" s="1"/>
      <c r="AT1" s="1"/>
      <c r="AU1" s="1"/>
      <c r="AV1" s="1"/>
      <c r="AW1" s="1"/>
      <c r="AX1" s="1"/>
      <c r="AY1" s="1"/>
      <c r="AZ1" s="1"/>
      <c r="BA1" s="1"/>
      <c r="BB1" s="1"/>
    </row>
    <row r="2" spans="1:54" ht="18" customHeight="1">
      <c r="A2" s="223"/>
      <c r="B2" s="224"/>
      <c r="C2" s="224"/>
      <c r="D2" s="227" t="s">
        <v>3</v>
      </c>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9"/>
      <c r="AL2" s="230" t="s">
        <v>4</v>
      </c>
      <c r="AM2" s="231"/>
      <c r="AN2" s="231"/>
      <c r="AO2" s="232">
        <v>2</v>
      </c>
      <c r="AP2" s="229"/>
      <c r="AQ2" s="1"/>
      <c r="AR2" s="1"/>
      <c r="AS2" s="1"/>
      <c r="AT2" s="1"/>
      <c r="AU2" s="1"/>
      <c r="AV2" s="1"/>
      <c r="AW2" s="1"/>
      <c r="AX2" s="1"/>
      <c r="AY2" s="1"/>
      <c r="AZ2" s="1"/>
      <c r="BA2" s="1"/>
      <c r="BB2" s="1"/>
    </row>
    <row r="3" spans="1:54" ht="21.75" customHeight="1">
      <c r="A3" s="225"/>
      <c r="B3" s="226"/>
      <c r="C3" s="226"/>
      <c r="D3" s="239" t="s">
        <v>5</v>
      </c>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1"/>
      <c r="AL3" s="227" t="s">
        <v>6</v>
      </c>
      <c r="AM3" s="228"/>
      <c r="AN3" s="228"/>
      <c r="AO3" s="233">
        <v>45673</v>
      </c>
      <c r="AP3" s="229"/>
      <c r="AQ3" s="1"/>
      <c r="AR3" s="1"/>
      <c r="AS3" s="1"/>
      <c r="AT3" s="1"/>
      <c r="AU3" s="1"/>
      <c r="AV3" s="1"/>
      <c r="AW3" s="1"/>
      <c r="AX3" s="1"/>
      <c r="AY3" s="1"/>
      <c r="AZ3" s="1"/>
      <c r="BA3" s="1"/>
      <c r="BB3" s="1"/>
    </row>
    <row r="4" spans="1:54" ht="21.75" customHeight="1">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21.75" customHeight="1">
      <c r="A5" s="242" t="s">
        <v>7</v>
      </c>
      <c r="B5" s="243"/>
      <c r="C5" s="243"/>
      <c r="D5" s="243"/>
      <c r="E5" s="243"/>
      <c r="F5" s="243"/>
      <c r="G5" s="243"/>
      <c r="H5" s="243"/>
      <c r="I5" s="243"/>
      <c r="J5" s="244"/>
      <c r="K5" s="245" t="s">
        <v>8</v>
      </c>
      <c r="L5" s="243"/>
      <c r="M5" s="243"/>
      <c r="N5" s="243"/>
      <c r="O5" s="243"/>
      <c r="P5" s="243"/>
      <c r="Q5" s="244"/>
      <c r="R5" s="246" t="s">
        <v>9</v>
      </c>
      <c r="S5" s="243"/>
      <c r="T5" s="243"/>
      <c r="U5" s="243"/>
      <c r="V5" s="243"/>
      <c r="W5" s="243"/>
      <c r="X5" s="243"/>
      <c r="Y5" s="243"/>
      <c r="Z5" s="243"/>
      <c r="AA5" s="244"/>
      <c r="AB5" s="247" t="s">
        <v>10</v>
      </c>
      <c r="AC5" s="243"/>
      <c r="AD5" s="243"/>
      <c r="AE5" s="243"/>
      <c r="AF5" s="243"/>
      <c r="AG5" s="244"/>
      <c r="AH5" s="6" t="s">
        <v>11</v>
      </c>
      <c r="AI5" s="7"/>
      <c r="AJ5" s="234" t="s">
        <v>12</v>
      </c>
      <c r="AK5" s="235"/>
      <c r="AL5" s="235"/>
      <c r="AM5" s="235"/>
      <c r="AN5" s="235"/>
      <c r="AO5" s="235"/>
      <c r="AP5" s="235"/>
      <c r="AQ5" s="1"/>
      <c r="AR5" s="1"/>
      <c r="AS5" s="1"/>
      <c r="AT5" s="1"/>
      <c r="AU5" s="1"/>
      <c r="AV5" s="1"/>
      <c r="AW5" s="1"/>
      <c r="AX5" s="1"/>
      <c r="AY5" s="1"/>
      <c r="AZ5" s="1"/>
      <c r="BA5" s="1"/>
      <c r="BB5" s="1"/>
    </row>
    <row r="6" spans="1:54" ht="28.5" customHeight="1">
      <c r="A6" s="8" t="s">
        <v>13</v>
      </c>
      <c r="B6" s="8" t="s">
        <v>14</v>
      </c>
      <c r="C6" s="8" t="s">
        <v>15</v>
      </c>
      <c r="D6" s="8" t="s">
        <v>16</v>
      </c>
      <c r="E6" s="8" t="s">
        <v>17</v>
      </c>
      <c r="F6" s="8" t="s">
        <v>18</v>
      </c>
      <c r="G6" s="8" t="s">
        <v>19</v>
      </c>
      <c r="H6" s="8" t="s">
        <v>20</v>
      </c>
      <c r="I6" s="8" t="s">
        <v>21</v>
      </c>
      <c r="J6" s="8" t="s">
        <v>22</v>
      </c>
      <c r="K6" s="8" t="s">
        <v>23</v>
      </c>
      <c r="L6" s="8" t="s">
        <v>24</v>
      </c>
      <c r="M6" s="8" t="s">
        <v>25</v>
      </c>
      <c r="N6" s="8" t="s">
        <v>26</v>
      </c>
      <c r="O6" s="8" t="s">
        <v>27</v>
      </c>
      <c r="P6" s="8" t="s">
        <v>24</v>
      </c>
      <c r="Q6" s="8" t="s">
        <v>28</v>
      </c>
      <c r="R6" s="9" t="s">
        <v>29</v>
      </c>
      <c r="S6" s="10" t="s">
        <v>30</v>
      </c>
      <c r="T6" s="10" t="s">
        <v>31</v>
      </c>
      <c r="U6" s="10" t="s">
        <v>32</v>
      </c>
      <c r="V6" s="248" t="s">
        <v>33</v>
      </c>
      <c r="W6" s="243"/>
      <c r="X6" s="243"/>
      <c r="Y6" s="243"/>
      <c r="Z6" s="243"/>
      <c r="AA6" s="244"/>
      <c r="AB6" s="11" t="s">
        <v>34</v>
      </c>
      <c r="AC6" s="11" t="s">
        <v>35</v>
      </c>
      <c r="AD6" s="11" t="s">
        <v>24</v>
      </c>
      <c r="AE6" s="11" t="s">
        <v>36</v>
      </c>
      <c r="AF6" s="11" t="s">
        <v>24</v>
      </c>
      <c r="AG6" s="11" t="s">
        <v>37</v>
      </c>
      <c r="AH6" s="12"/>
      <c r="AI6" s="13"/>
      <c r="AJ6" s="236" t="s">
        <v>38</v>
      </c>
      <c r="AK6" s="235"/>
      <c r="AL6" s="235"/>
      <c r="AM6" s="237"/>
      <c r="AN6" s="238" t="s">
        <v>39</v>
      </c>
      <c r="AO6" s="235"/>
      <c r="AP6" s="237"/>
      <c r="AQ6" s="1"/>
      <c r="AR6" s="1"/>
      <c r="AS6" s="1"/>
      <c r="AT6" s="1"/>
      <c r="AU6" s="1"/>
      <c r="AV6" s="1"/>
      <c r="AW6" s="1"/>
      <c r="AX6" s="1"/>
      <c r="AY6" s="1"/>
      <c r="AZ6" s="1"/>
      <c r="BA6" s="1"/>
      <c r="BB6" s="1"/>
    </row>
    <row r="7" spans="1:54" ht="65.25" hidden="1" customHeight="1">
      <c r="A7" s="14"/>
      <c r="B7" s="14"/>
      <c r="C7" s="14"/>
      <c r="D7" s="14"/>
      <c r="E7" s="14"/>
      <c r="F7" s="14"/>
      <c r="G7" s="14"/>
      <c r="H7" s="14"/>
      <c r="I7" s="14"/>
      <c r="J7" s="14"/>
      <c r="K7" s="14"/>
      <c r="L7" s="14"/>
      <c r="M7" s="14"/>
      <c r="N7" s="14"/>
      <c r="O7" s="14"/>
      <c r="P7" s="14"/>
      <c r="Q7" s="14"/>
      <c r="R7" s="15"/>
      <c r="S7" s="16"/>
      <c r="T7" s="16"/>
      <c r="U7" s="16"/>
      <c r="V7" s="17" t="s">
        <v>40</v>
      </c>
      <c r="W7" s="17" t="s">
        <v>41</v>
      </c>
      <c r="X7" s="17" t="s">
        <v>42</v>
      </c>
      <c r="Y7" s="17" t="s">
        <v>43</v>
      </c>
      <c r="Z7" s="17" t="s">
        <v>44</v>
      </c>
      <c r="AA7" s="17" t="s">
        <v>45</v>
      </c>
      <c r="AB7" s="18"/>
      <c r="AC7" s="18"/>
      <c r="AD7" s="18"/>
      <c r="AE7" s="18"/>
      <c r="AF7" s="18"/>
      <c r="AG7" s="18"/>
      <c r="AH7" s="19" t="s">
        <v>46</v>
      </c>
      <c r="AI7" s="19" t="s">
        <v>47</v>
      </c>
      <c r="AJ7" s="20" t="s">
        <v>48</v>
      </c>
      <c r="AK7" s="21" t="s">
        <v>49</v>
      </c>
      <c r="AL7" s="21" t="s">
        <v>50</v>
      </c>
      <c r="AM7" s="21" t="s">
        <v>51</v>
      </c>
      <c r="AN7" s="22" t="s">
        <v>49</v>
      </c>
      <c r="AO7" s="22" t="s">
        <v>50</v>
      </c>
      <c r="AP7" s="22" t="s">
        <v>52</v>
      </c>
      <c r="AQ7" s="3"/>
      <c r="AR7" s="3"/>
      <c r="AS7" s="3"/>
      <c r="AT7" s="3"/>
      <c r="AU7" s="3"/>
      <c r="AV7" s="3"/>
      <c r="AW7" s="3"/>
      <c r="AX7" s="3"/>
      <c r="AY7" s="3"/>
      <c r="AZ7" s="3"/>
      <c r="BA7" s="3"/>
      <c r="BB7" s="3"/>
    </row>
    <row r="8" spans="1:54" ht="128.25" hidden="1" customHeight="1">
      <c r="A8" s="23" t="s">
        <v>53</v>
      </c>
      <c r="B8" s="24" t="s">
        <v>54</v>
      </c>
      <c r="C8" s="25" t="s">
        <v>55</v>
      </c>
      <c r="D8" s="24" t="s">
        <v>56</v>
      </c>
      <c r="E8" s="24" t="s">
        <v>57</v>
      </c>
      <c r="F8" s="24" t="s">
        <v>58</v>
      </c>
      <c r="G8" s="25" t="s">
        <v>59</v>
      </c>
      <c r="H8" s="26" t="s">
        <v>60</v>
      </c>
      <c r="I8" s="24" t="s">
        <v>61</v>
      </c>
      <c r="J8" s="26">
        <v>30</v>
      </c>
      <c r="K8" s="26" t="str">
        <f t="shared" ref="K8:K24" si="0">IF(J8&lt;=0,"",IF(J8&lt;=2,"Muy Baja",IF(J8&lt;=24,"Baja",IF(J8&lt;=500,"Media",IF(J8&lt;=5000,"Alta","Muy Alta")))))</f>
        <v>Media</v>
      </c>
      <c r="L8" s="27">
        <f t="shared" ref="L8:L23" si="1">IF(K8="","",IF(K8="Muy Baja",0.2,IF(K8="Baja",0.4,IF(K8="Media",0.6,IF(K8="Alta",0.8,IF(K8="Muy Alta",1,))))))</f>
        <v>0.6</v>
      </c>
      <c r="M8" s="27" t="s">
        <v>62</v>
      </c>
      <c r="N8" s="28" t="str">
        <f ca="1">IF(NOT(ISERROR(MATCH(M8,ANCHORARRAY(#REF!),0))),#REF!&amp;"Por favor no seleccionar los criterios de impacto",M8)</f>
        <v xml:space="preserve">     El riesgo afecta la imagen de la entidad con algunos usuarios de relevancia frente al logro de los objetivos</v>
      </c>
      <c r="O8" s="26"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27">
        <f t="shared" ref="P8:P24" ca="1" si="2">IF(O8="","",IF(O8="Leve",0.2,IF(O8="Menor",0.4,IF(O8="Moderado",0.6,IF(O8="Mayor",0.8,IF(O8="Catastrófico",1,))))))</f>
        <v>0.6</v>
      </c>
      <c r="Q8" s="23" t="str">
        <f t="shared" ref="Q8:Q24"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23">
        <v>1</v>
      </c>
      <c r="S8" s="25" t="s">
        <v>63</v>
      </c>
      <c r="T8" s="25" t="s">
        <v>64</v>
      </c>
      <c r="U8" s="23" t="str">
        <f t="shared" ref="U8:U24" si="4">IF(OR(V8="Preventivo",V8="Detectivo"),"Probabilidad",IF(V8="Correctivo","Impacto",""))</f>
        <v>Probabilidad</v>
      </c>
      <c r="V8" s="29" t="s">
        <v>65</v>
      </c>
      <c r="W8" s="29" t="s">
        <v>66</v>
      </c>
      <c r="X8" s="30" t="str">
        <f t="shared" ref="X8:X23" si="5">IF(AND(V8="Preventivo",W8="Automático"),"50%",IF(AND(V8="Preventivo",W8="Manual"),"40%",IF(AND(V8="Detectivo",W8="Automático"),"40%",IF(AND(V8="Detectivo",W8="Manual"),"30%",IF(AND(V8="Correctivo",W8="Automático"),"35%",IF(AND(V8="Correctivo",W8="Manual"),"25%",""))))))</f>
        <v>40%</v>
      </c>
      <c r="Y8" s="29" t="s">
        <v>67</v>
      </c>
      <c r="Z8" s="29" t="s">
        <v>68</v>
      </c>
      <c r="AA8" s="29" t="s">
        <v>69</v>
      </c>
      <c r="AB8" s="31">
        <f t="shared" ref="AB8:AB24" si="6">IFERROR(IF(U8="Probabilidad",(L8-(+L8*X8)),IF(U8="Impacto",L8,"")),"")</f>
        <v>0.36</v>
      </c>
      <c r="AC8" s="32" t="str">
        <f t="shared" ref="AC8:AC24" si="7">IFERROR(IF(AB8="","",IF(AB8&lt;=0.2,"Muy Baja",IF(AB8&lt;=0.4,"Baja",IF(AB8&lt;=0.6,"Media",IF(AB8&lt;=0.8,"Alta","Muy Alta"))))),"")</f>
        <v>Baja</v>
      </c>
      <c r="AD8" s="30">
        <f t="shared" ref="AD8:AD24" si="8">+AB8</f>
        <v>0.36</v>
      </c>
      <c r="AE8" s="32" t="str">
        <f t="shared" ref="AE8:AE24" ca="1" si="9">IFERROR(IF(AF8="","",IF(AF8&lt;=0.2,"Leve",IF(AF8&lt;=0.4,"Menor",IF(AF8&lt;=0.6,"Moderado",IF(AF8&lt;=0.8,"Mayor","Catastrófico"))))),"")</f>
        <v>Moderado</v>
      </c>
      <c r="AF8" s="30">
        <f t="shared" ref="AF8:AF24" ca="1" si="10">IFERROR(IF(U8="Impacto",(P8-(+P8*X8)),IF(U8="Probabilidad",P8,"")),"")</f>
        <v>0.6</v>
      </c>
      <c r="AG8" s="29" t="str">
        <f t="shared" ref="AG8:AG24" ca="1" si="1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9" t="s">
        <v>70</v>
      </c>
      <c r="AI8" s="26" t="str">
        <f ca="1">+IF(OR(AG8="Moderado",AG8="bajo"),Listas!$D$2,Listas!$D$3)</f>
        <v>Se puede aceptar el riesgo no es necesario adoptar medidas adicionales que reduzcan su probabilidad e impacto.</v>
      </c>
      <c r="AJ8" s="33"/>
      <c r="AK8" s="34"/>
      <c r="AL8" s="35"/>
      <c r="AM8" s="36"/>
      <c r="AN8" s="34"/>
      <c r="AO8" s="35"/>
      <c r="AP8" s="35"/>
      <c r="AQ8" s="1"/>
      <c r="AR8" s="1"/>
      <c r="AS8" s="1"/>
      <c r="AT8" s="1"/>
      <c r="AU8" s="1"/>
      <c r="AV8" s="1"/>
      <c r="AW8" s="1"/>
      <c r="AX8" s="1"/>
      <c r="AY8" s="1"/>
      <c r="AZ8" s="1"/>
      <c r="BA8" s="1"/>
      <c r="BB8" s="1"/>
    </row>
    <row r="9" spans="1:54" ht="169.5" hidden="1" customHeight="1">
      <c r="A9" s="23" t="s">
        <v>71</v>
      </c>
      <c r="B9" s="24" t="s">
        <v>72</v>
      </c>
      <c r="C9" s="25" t="s">
        <v>73</v>
      </c>
      <c r="D9" s="24" t="s">
        <v>74</v>
      </c>
      <c r="E9" s="24" t="s">
        <v>57</v>
      </c>
      <c r="F9" s="24" t="s">
        <v>75</v>
      </c>
      <c r="G9" s="25" t="s">
        <v>76</v>
      </c>
      <c r="H9" s="26" t="s">
        <v>60</v>
      </c>
      <c r="I9" s="24" t="s">
        <v>61</v>
      </c>
      <c r="J9" s="26">
        <v>40</v>
      </c>
      <c r="K9" s="26" t="str">
        <f t="shared" si="0"/>
        <v>Media</v>
      </c>
      <c r="L9" s="27">
        <f t="shared" si="1"/>
        <v>0.6</v>
      </c>
      <c r="M9" s="27" t="s">
        <v>77</v>
      </c>
      <c r="N9" s="28" t="str">
        <f ca="1">IF(NOT(ISERROR(MATCH(M9,ANCHORARRAY(#REF!),0))),L13&amp;"Por favor no seleccionar los criterios de impacto",M9)</f>
        <v xml:space="preserve">     El riesgo afecta la imagen de de la entidad con efecto publicitario sostenido a nivel de sector administrativo, nivel departamental o municipal</v>
      </c>
      <c r="O9" s="26"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27">
        <f t="shared" ca="1" si="2"/>
        <v>0.8</v>
      </c>
      <c r="Q9" s="23" t="str">
        <f t="shared" ca="1" si="3"/>
        <v>Alto</v>
      </c>
      <c r="R9" s="23">
        <f t="shared" ref="R9:R24" si="12">+R8+1</f>
        <v>2</v>
      </c>
      <c r="S9" s="25" t="s">
        <v>78</v>
      </c>
      <c r="T9" s="25" t="s">
        <v>79</v>
      </c>
      <c r="U9" s="23" t="str">
        <f t="shared" si="4"/>
        <v>Probabilidad</v>
      </c>
      <c r="V9" s="29" t="s">
        <v>65</v>
      </c>
      <c r="W9" s="29" t="s">
        <v>66</v>
      </c>
      <c r="X9" s="30" t="str">
        <f t="shared" si="5"/>
        <v>40%</v>
      </c>
      <c r="Y9" s="29" t="s">
        <v>67</v>
      </c>
      <c r="Z9" s="29" t="s">
        <v>68</v>
      </c>
      <c r="AA9" s="29" t="s">
        <v>69</v>
      </c>
      <c r="AB9" s="31">
        <f t="shared" si="6"/>
        <v>0.36</v>
      </c>
      <c r="AC9" s="32" t="str">
        <f t="shared" si="7"/>
        <v>Baja</v>
      </c>
      <c r="AD9" s="30">
        <f t="shared" si="8"/>
        <v>0.36</v>
      </c>
      <c r="AE9" s="32" t="str">
        <f t="shared" ca="1" si="9"/>
        <v>Mayor</v>
      </c>
      <c r="AF9" s="30">
        <f t="shared" ca="1" si="10"/>
        <v>0.8</v>
      </c>
      <c r="AG9" s="29" t="str">
        <f t="shared" ca="1" si="11"/>
        <v>Alto</v>
      </c>
      <c r="AH9" s="29" t="s">
        <v>70</v>
      </c>
      <c r="AI9" s="26" t="str">
        <f ca="1">+IF(OR(AG9="Moderado",AG9="bajo"),Listas!$D$2,Listas!$D$3)</f>
        <v>Reduzca la probabilidad o impacto implementando acciones preventivas diferentes a los controles en un plan de tratamiento que identifique actividad, con fecha, responsable. También puede compartir o transferir el riesgo.</v>
      </c>
      <c r="AJ9" s="33"/>
      <c r="AK9" s="34"/>
      <c r="AL9" s="35"/>
      <c r="AM9" s="37"/>
      <c r="AN9" s="34"/>
      <c r="AO9" s="35"/>
      <c r="AP9" s="35"/>
      <c r="AQ9" s="1"/>
      <c r="AR9" s="1"/>
      <c r="AS9" s="1"/>
      <c r="AT9" s="1"/>
      <c r="AU9" s="1"/>
      <c r="AV9" s="1"/>
      <c r="AW9" s="1"/>
      <c r="AX9" s="1"/>
      <c r="AY9" s="1"/>
      <c r="AZ9" s="1"/>
      <c r="BA9" s="1"/>
      <c r="BB9" s="1"/>
    </row>
    <row r="10" spans="1:54" ht="182.25" hidden="1" customHeight="1">
      <c r="A10" s="23" t="s">
        <v>80</v>
      </c>
      <c r="B10" s="24" t="s">
        <v>81</v>
      </c>
      <c r="C10" s="25" t="s">
        <v>82</v>
      </c>
      <c r="D10" s="24" t="s">
        <v>83</v>
      </c>
      <c r="E10" s="26" t="s">
        <v>84</v>
      </c>
      <c r="F10" s="24" t="s">
        <v>58</v>
      </c>
      <c r="G10" s="25" t="s">
        <v>85</v>
      </c>
      <c r="H10" s="26" t="s">
        <v>60</v>
      </c>
      <c r="I10" s="24" t="s">
        <v>61</v>
      </c>
      <c r="J10" s="23">
        <v>1000</v>
      </c>
      <c r="K10" s="26" t="str">
        <f t="shared" si="0"/>
        <v>Alta</v>
      </c>
      <c r="L10" s="27">
        <f t="shared" si="1"/>
        <v>0.8</v>
      </c>
      <c r="M10" s="27" t="s">
        <v>77</v>
      </c>
      <c r="N10" s="27" t="str">
        <f ca="1">IF(NOT(ISERROR(MATCH(M10,ANCHORARRAY(#REF!),0))),L16&amp;"Por favor no seleccionar los criterios de impacto",M10)</f>
        <v xml:space="preserve">     El riesgo afecta la imagen de de la entidad con efecto publicitario sostenido a nivel de sector administrativo, nivel departamental o municipal</v>
      </c>
      <c r="O10" s="26"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27">
        <f t="shared" ca="1" si="2"/>
        <v>0.8</v>
      </c>
      <c r="Q10" s="23" t="str">
        <f t="shared" ca="1" si="3"/>
        <v>Alto</v>
      </c>
      <c r="R10" s="23">
        <f t="shared" si="12"/>
        <v>3</v>
      </c>
      <c r="S10" s="25" t="s">
        <v>86</v>
      </c>
      <c r="T10" s="25" t="s">
        <v>87</v>
      </c>
      <c r="U10" s="23" t="str">
        <f t="shared" si="4"/>
        <v>Probabilidad</v>
      </c>
      <c r="V10" s="29" t="s">
        <v>65</v>
      </c>
      <c r="W10" s="29" t="s">
        <v>66</v>
      </c>
      <c r="X10" s="30" t="str">
        <f t="shared" si="5"/>
        <v>40%</v>
      </c>
      <c r="Y10" s="29" t="s">
        <v>67</v>
      </c>
      <c r="Z10" s="29" t="s">
        <v>68</v>
      </c>
      <c r="AA10" s="29" t="s">
        <v>69</v>
      </c>
      <c r="AB10" s="31">
        <f t="shared" si="6"/>
        <v>0.48</v>
      </c>
      <c r="AC10" s="32" t="str">
        <f t="shared" si="7"/>
        <v>Media</v>
      </c>
      <c r="AD10" s="30">
        <f t="shared" si="8"/>
        <v>0.48</v>
      </c>
      <c r="AE10" s="32" t="str">
        <f t="shared" ca="1" si="9"/>
        <v>Mayor</v>
      </c>
      <c r="AF10" s="30">
        <f t="shared" ca="1" si="10"/>
        <v>0.8</v>
      </c>
      <c r="AG10" s="29" t="str">
        <f t="shared" ca="1" si="11"/>
        <v>Alto</v>
      </c>
      <c r="AH10" s="29" t="s">
        <v>70</v>
      </c>
      <c r="AI10" s="26" t="str">
        <f ca="1">+IF(OR(AG10="Moderado",AG10="bajo"),Listas!$D$2,Listas!$D$3)</f>
        <v>Reduzca la probabilidad o impacto implementando acciones preventivas diferentes a los controles en un plan de tratamiento que identifique actividad, con fecha, responsable. También puede compartir o transferir el riesgo.</v>
      </c>
      <c r="AJ10" s="33"/>
      <c r="AK10" s="34"/>
      <c r="AL10" s="35"/>
      <c r="AM10" s="38"/>
      <c r="AN10" s="34"/>
      <c r="AO10" s="35"/>
      <c r="AP10" s="35"/>
      <c r="AQ10" s="1"/>
      <c r="AR10" s="1"/>
      <c r="AS10" s="1"/>
      <c r="AT10" s="1"/>
      <c r="AU10" s="1"/>
      <c r="AV10" s="1"/>
      <c r="AW10" s="1"/>
      <c r="AX10" s="1"/>
      <c r="AY10" s="1"/>
      <c r="AZ10" s="1"/>
      <c r="BA10" s="1"/>
      <c r="BB10" s="1"/>
    </row>
    <row r="11" spans="1:54" ht="207.75" customHeight="1">
      <c r="A11" s="23" t="s">
        <v>88</v>
      </c>
      <c r="B11" s="24" t="s">
        <v>89</v>
      </c>
      <c r="C11" s="25" t="s">
        <v>90</v>
      </c>
      <c r="D11" s="24" t="s">
        <v>91</v>
      </c>
      <c r="E11" s="26" t="s">
        <v>57</v>
      </c>
      <c r="F11" s="24" t="s">
        <v>92</v>
      </c>
      <c r="G11" s="25" t="s">
        <v>93</v>
      </c>
      <c r="H11" s="26" t="s">
        <v>60</v>
      </c>
      <c r="I11" s="24" t="s">
        <v>61</v>
      </c>
      <c r="J11" s="23">
        <v>20</v>
      </c>
      <c r="K11" s="26" t="str">
        <f t="shared" si="0"/>
        <v>Baja</v>
      </c>
      <c r="L11" s="28">
        <f t="shared" si="1"/>
        <v>0.4</v>
      </c>
      <c r="M11" s="27" t="s">
        <v>77</v>
      </c>
      <c r="N11" s="28" t="str">
        <f t="shared" ref="N11:N12" ca="1" si="13">IF(NOT(ISERROR(MATCH(M11,ANCHORARRAY(#REF!),0))),#REF!&amp;"Por favor no seleccionar los criterios de impacto",M11)</f>
        <v xml:space="preserve">     El riesgo afecta la imagen de de la entidad con efecto publicitario sostenido a nivel de sector administrativo, nivel departamental o municipal</v>
      </c>
      <c r="O11" s="26"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27">
        <f t="shared" ca="1" si="2"/>
        <v>0.8</v>
      </c>
      <c r="Q11" s="23" t="str">
        <f t="shared" ca="1" si="3"/>
        <v>Alto</v>
      </c>
      <c r="R11" s="23">
        <f t="shared" si="12"/>
        <v>4</v>
      </c>
      <c r="S11" s="25" t="s">
        <v>94</v>
      </c>
      <c r="T11" s="25" t="s">
        <v>95</v>
      </c>
      <c r="U11" s="23" t="str">
        <f t="shared" si="4"/>
        <v>Probabilidad</v>
      </c>
      <c r="V11" s="29" t="s">
        <v>65</v>
      </c>
      <c r="W11" s="29" t="s">
        <v>66</v>
      </c>
      <c r="X11" s="30" t="str">
        <f t="shared" si="5"/>
        <v>40%</v>
      </c>
      <c r="Y11" s="29" t="s">
        <v>67</v>
      </c>
      <c r="Z11" s="29" t="s">
        <v>68</v>
      </c>
      <c r="AA11" s="29" t="s">
        <v>69</v>
      </c>
      <c r="AB11" s="31">
        <f t="shared" si="6"/>
        <v>0.24</v>
      </c>
      <c r="AC11" s="32" t="str">
        <f t="shared" si="7"/>
        <v>Baja</v>
      </c>
      <c r="AD11" s="30">
        <f t="shared" si="8"/>
        <v>0.24</v>
      </c>
      <c r="AE11" s="32" t="str">
        <f t="shared" ca="1" si="9"/>
        <v>Mayor</v>
      </c>
      <c r="AF11" s="30">
        <f t="shared" ca="1" si="10"/>
        <v>0.8</v>
      </c>
      <c r="AG11" s="29" t="str">
        <f t="shared" ca="1" si="11"/>
        <v>Alto</v>
      </c>
      <c r="AH11" s="29" t="s">
        <v>70</v>
      </c>
      <c r="AI11" s="26"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33"/>
      <c r="AK11" s="34"/>
      <c r="AL11" s="35"/>
      <c r="AM11" s="36"/>
      <c r="AN11" s="34"/>
      <c r="AO11" s="35"/>
      <c r="AP11" s="35"/>
      <c r="AQ11" s="1"/>
      <c r="AR11" s="1"/>
      <c r="AS11" s="1"/>
      <c r="AT11" s="1"/>
      <c r="AU11" s="1"/>
      <c r="AV11" s="1"/>
      <c r="AW11" s="1"/>
      <c r="AX11" s="1"/>
      <c r="AY11" s="1"/>
      <c r="AZ11" s="1"/>
      <c r="BA11" s="1"/>
      <c r="BB11" s="1"/>
    </row>
    <row r="12" spans="1:54" ht="151.5" hidden="1" customHeight="1">
      <c r="A12" s="23" t="s">
        <v>96</v>
      </c>
      <c r="B12" s="25" t="s">
        <v>97</v>
      </c>
      <c r="C12" s="25" t="s">
        <v>98</v>
      </c>
      <c r="D12" s="24" t="s">
        <v>99</v>
      </c>
      <c r="E12" s="26" t="s">
        <v>57</v>
      </c>
      <c r="F12" s="24" t="s">
        <v>58</v>
      </c>
      <c r="G12" s="25" t="s">
        <v>100</v>
      </c>
      <c r="H12" s="26" t="s">
        <v>60</v>
      </c>
      <c r="I12" s="24" t="s">
        <v>61</v>
      </c>
      <c r="J12" s="23">
        <v>500</v>
      </c>
      <c r="K12" s="26" t="str">
        <f t="shared" si="0"/>
        <v>Media</v>
      </c>
      <c r="L12" s="28">
        <f t="shared" si="1"/>
        <v>0.6</v>
      </c>
      <c r="M12" s="27" t="s">
        <v>101</v>
      </c>
      <c r="N12" s="39" t="str">
        <f t="shared" ca="1" si="13"/>
        <v xml:space="preserve">     El riesgo afecta la imagen de la entidad a nivel nacional, con efecto publicitarios sostenible a nivel país</v>
      </c>
      <c r="O12" s="26"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27">
        <f t="shared" ca="1" si="2"/>
        <v>1</v>
      </c>
      <c r="Q12" s="23" t="str">
        <f t="shared" ca="1" si="3"/>
        <v>Extremo</v>
      </c>
      <c r="R12" s="23">
        <f t="shared" si="12"/>
        <v>5</v>
      </c>
      <c r="S12" s="25" t="s">
        <v>102</v>
      </c>
      <c r="T12" s="25" t="s">
        <v>87</v>
      </c>
      <c r="U12" s="23" t="str">
        <f t="shared" si="4"/>
        <v>Probabilidad</v>
      </c>
      <c r="V12" s="29" t="s">
        <v>65</v>
      </c>
      <c r="W12" s="29" t="s">
        <v>66</v>
      </c>
      <c r="X12" s="30" t="str">
        <f t="shared" si="5"/>
        <v>40%</v>
      </c>
      <c r="Y12" s="29" t="s">
        <v>67</v>
      </c>
      <c r="Z12" s="29" t="s">
        <v>68</v>
      </c>
      <c r="AA12" s="29" t="s">
        <v>69</v>
      </c>
      <c r="AB12" s="31">
        <f t="shared" si="6"/>
        <v>0.36</v>
      </c>
      <c r="AC12" s="32" t="str">
        <f t="shared" si="7"/>
        <v>Baja</v>
      </c>
      <c r="AD12" s="30">
        <f t="shared" si="8"/>
        <v>0.36</v>
      </c>
      <c r="AE12" s="32" t="str">
        <f t="shared" ca="1" si="9"/>
        <v>Catastrófico</v>
      </c>
      <c r="AF12" s="30">
        <f t="shared" ca="1" si="10"/>
        <v>1</v>
      </c>
      <c r="AG12" s="29" t="str">
        <f t="shared" ca="1" si="11"/>
        <v>Extremo</v>
      </c>
      <c r="AH12" s="29" t="s">
        <v>70</v>
      </c>
      <c r="AI12" s="26" t="str">
        <f ca="1">+IF(OR(AG12="Moderado",AG12="bajo"),Listas!$D$2,Listas!$D$3)</f>
        <v>Reduzca la probabilidad o impacto implementando acciones preventivas diferentes a los controles en un plan de tratamiento que identifique actividad, con fecha, responsable. También puede compartir o transferir el riesgo.</v>
      </c>
      <c r="AJ12" s="33"/>
      <c r="AK12" s="34"/>
      <c r="AL12" s="35"/>
      <c r="AM12" s="40"/>
      <c r="AN12" s="34"/>
      <c r="AO12" s="35"/>
      <c r="AP12" s="35"/>
      <c r="AQ12" s="1"/>
      <c r="AR12" s="1"/>
      <c r="AS12" s="1"/>
      <c r="AT12" s="1"/>
      <c r="AU12" s="1"/>
      <c r="AV12" s="1"/>
      <c r="AW12" s="1"/>
      <c r="AX12" s="1"/>
      <c r="AY12" s="1"/>
      <c r="AZ12" s="1"/>
      <c r="BA12" s="1"/>
      <c r="BB12" s="1"/>
    </row>
    <row r="13" spans="1:54" ht="178.5" hidden="1" customHeight="1">
      <c r="A13" s="23" t="s">
        <v>103</v>
      </c>
      <c r="B13" s="25" t="s">
        <v>104</v>
      </c>
      <c r="C13" s="25" t="s">
        <v>105</v>
      </c>
      <c r="D13" s="24" t="s">
        <v>106</v>
      </c>
      <c r="E13" s="26" t="s">
        <v>57</v>
      </c>
      <c r="F13" s="24" t="s">
        <v>92</v>
      </c>
      <c r="G13" s="25" t="s">
        <v>107</v>
      </c>
      <c r="H13" s="26" t="s">
        <v>60</v>
      </c>
      <c r="I13" s="24" t="s">
        <v>61</v>
      </c>
      <c r="J13" s="23">
        <v>25</v>
      </c>
      <c r="K13" s="26" t="str">
        <f t="shared" si="0"/>
        <v>Media</v>
      </c>
      <c r="L13" s="28">
        <f t="shared" si="1"/>
        <v>0.6</v>
      </c>
      <c r="M13" s="27" t="s">
        <v>101</v>
      </c>
      <c r="N13" s="27" t="str">
        <f ca="1">IF(NOT(ISERROR(MATCH(M13,'Anexo 3 Tabla Impacto'!$B$221:$B$223,0))),'Anexo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26"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27">
        <f t="shared" ca="1" si="2"/>
        <v>1</v>
      </c>
      <c r="Q13" s="23" t="str">
        <f t="shared" ca="1" si="3"/>
        <v>Extremo</v>
      </c>
      <c r="R13" s="23">
        <f t="shared" si="12"/>
        <v>6</v>
      </c>
      <c r="S13" s="25" t="s">
        <v>108</v>
      </c>
      <c r="T13" s="25" t="s">
        <v>109</v>
      </c>
      <c r="U13" s="23" t="str">
        <f t="shared" si="4"/>
        <v>Probabilidad</v>
      </c>
      <c r="V13" s="29" t="s">
        <v>65</v>
      </c>
      <c r="W13" s="29" t="s">
        <v>66</v>
      </c>
      <c r="X13" s="30" t="str">
        <f t="shared" si="5"/>
        <v>40%</v>
      </c>
      <c r="Y13" s="29" t="s">
        <v>67</v>
      </c>
      <c r="Z13" s="29" t="s">
        <v>68</v>
      </c>
      <c r="AA13" s="29" t="s">
        <v>69</v>
      </c>
      <c r="AB13" s="31">
        <f t="shared" si="6"/>
        <v>0.36</v>
      </c>
      <c r="AC13" s="32" t="str">
        <f t="shared" si="7"/>
        <v>Baja</v>
      </c>
      <c r="AD13" s="30">
        <f t="shared" si="8"/>
        <v>0.36</v>
      </c>
      <c r="AE13" s="32" t="str">
        <f t="shared" ca="1" si="9"/>
        <v>Catastrófico</v>
      </c>
      <c r="AF13" s="30">
        <f t="shared" ca="1" si="10"/>
        <v>1</v>
      </c>
      <c r="AG13" s="29" t="str">
        <f t="shared" ca="1" si="11"/>
        <v>Extremo</v>
      </c>
      <c r="AH13" s="29" t="s">
        <v>70</v>
      </c>
      <c r="AI13" s="26" t="str">
        <f ca="1">+IF(OR(AG13="Moderado",AG13="bajo"),Listas!$D$2,Listas!$D$3)</f>
        <v>Reduzca la probabilidad o impacto implementando acciones preventivas diferentes a los controles en un plan de tratamiento que identifique actividad, con fecha, responsable. También puede compartir o transferir el riesgo.</v>
      </c>
      <c r="AJ13" s="33"/>
      <c r="AK13" s="34"/>
      <c r="AL13" s="35"/>
      <c r="AM13" s="34"/>
      <c r="AN13" s="34"/>
      <c r="AO13" s="35"/>
      <c r="AP13" s="35"/>
      <c r="AQ13" s="1"/>
      <c r="AR13" s="1"/>
      <c r="AS13" s="1"/>
      <c r="AT13" s="1"/>
      <c r="AU13" s="1"/>
      <c r="AV13" s="1"/>
      <c r="AW13" s="1"/>
      <c r="AX13" s="1"/>
      <c r="AY13" s="1"/>
      <c r="AZ13" s="1"/>
      <c r="BA13" s="1"/>
      <c r="BB13" s="1"/>
    </row>
    <row r="14" spans="1:54" ht="151.5" hidden="1" customHeight="1">
      <c r="A14" s="23" t="s">
        <v>110</v>
      </c>
      <c r="B14" s="25" t="s">
        <v>111</v>
      </c>
      <c r="C14" s="25" t="s">
        <v>112</v>
      </c>
      <c r="D14" s="24" t="s">
        <v>113</v>
      </c>
      <c r="E14" s="26" t="s">
        <v>57</v>
      </c>
      <c r="F14" s="24" t="s">
        <v>114</v>
      </c>
      <c r="G14" s="25" t="s">
        <v>115</v>
      </c>
      <c r="H14" s="26" t="s">
        <v>60</v>
      </c>
      <c r="I14" s="24" t="s">
        <v>61</v>
      </c>
      <c r="J14" s="23">
        <v>501</v>
      </c>
      <c r="K14" s="26" t="str">
        <f t="shared" si="0"/>
        <v>Alta</v>
      </c>
      <c r="L14" s="28">
        <f t="shared" si="1"/>
        <v>0.8</v>
      </c>
      <c r="M14" s="27" t="s">
        <v>62</v>
      </c>
      <c r="N14" s="27" t="str">
        <f t="shared" ref="N14:N15" ca="1" si="14">IF(NOT(ISERROR(MATCH(M14,ANCHORARRAY(#REF!),0))),#REF!&amp;"Por favor no seleccionar los criterios de impacto",M14)</f>
        <v xml:space="preserve">     El riesgo afecta la imagen de la entidad con algunos usuarios de relevancia frente al logro de los objetivos</v>
      </c>
      <c r="O14" s="26"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27">
        <f t="shared" ca="1" si="2"/>
        <v>0.6</v>
      </c>
      <c r="Q14" s="23" t="str">
        <f t="shared" ca="1" si="3"/>
        <v>Alto</v>
      </c>
      <c r="R14" s="23">
        <f t="shared" si="12"/>
        <v>7</v>
      </c>
      <c r="S14" s="25" t="s">
        <v>116</v>
      </c>
      <c r="T14" s="25" t="s">
        <v>117</v>
      </c>
      <c r="U14" s="23" t="str">
        <f t="shared" si="4"/>
        <v>Probabilidad</v>
      </c>
      <c r="V14" s="29" t="s">
        <v>65</v>
      </c>
      <c r="W14" s="29" t="s">
        <v>66</v>
      </c>
      <c r="X14" s="30" t="str">
        <f t="shared" si="5"/>
        <v>40%</v>
      </c>
      <c r="Y14" s="29" t="s">
        <v>67</v>
      </c>
      <c r="Z14" s="29" t="s">
        <v>68</v>
      </c>
      <c r="AA14" s="29" t="s">
        <v>69</v>
      </c>
      <c r="AB14" s="31">
        <f t="shared" si="6"/>
        <v>0.48</v>
      </c>
      <c r="AC14" s="32" t="str">
        <f t="shared" si="7"/>
        <v>Media</v>
      </c>
      <c r="AD14" s="30">
        <f t="shared" si="8"/>
        <v>0.48</v>
      </c>
      <c r="AE14" s="32" t="str">
        <f t="shared" ca="1" si="9"/>
        <v>Moderado</v>
      </c>
      <c r="AF14" s="30">
        <f t="shared" ca="1" si="10"/>
        <v>0.6</v>
      </c>
      <c r="AG14" s="29" t="str">
        <f t="shared" ca="1" si="11"/>
        <v>Moderado</v>
      </c>
      <c r="AH14" s="29" t="s">
        <v>70</v>
      </c>
      <c r="AI14" s="26" t="str">
        <f ca="1">+IF(OR(AG14="Moderado",AG14="bajo"),Listas!$D$2,Listas!$D$3)</f>
        <v>Se puede aceptar el riesgo no es necesario adoptar medidas adicionales que reduzcan su probabilidad e impacto.</v>
      </c>
      <c r="AJ14" s="33"/>
      <c r="AK14" s="34"/>
      <c r="AL14" s="35"/>
      <c r="AM14" s="34"/>
      <c r="AN14" s="34"/>
      <c r="AO14" s="35"/>
      <c r="AP14" s="35"/>
      <c r="AQ14" s="1"/>
      <c r="AR14" s="1"/>
      <c r="AS14" s="1"/>
      <c r="AT14" s="1"/>
      <c r="AU14" s="1"/>
      <c r="AV14" s="1"/>
      <c r="AW14" s="1"/>
      <c r="AX14" s="1"/>
      <c r="AY14" s="1"/>
      <c r="AZ14" s="1"/>
      <c r="BA14" s="1"/>
      <c r="BB14" s="1"/>
    </row>
    <row r="15" spans="1:54" ht="151.5" hidden="1" customHeight="1">
      <c r="A15" s="23" t="s">
        <v>118</v>
      </c>
      <c r="B15" s="25" t="s">
        <v>119</v>
      </c>
      <c r="C15" s="25" t="s">
        <v>120</v>
      </c>
      <c r="D15" s="24" t="s">
        <v>121</v>
      </c>
      <c r="E15" s="26" t="s">
        <v>57</v>
      </c>
      <c r="F15" s="24" t="s">
        <v>58</v>
      </c>
      <c r="G15" s="25" t="s">
        <v>122</v>
      </c>
      <c r="H15" s="26" t="s">
        <v>60</v>
      </c>
      <c r="I15" s="26" t="s">
        <v>61</v>
      </c>
      <c r="J15" s="23">
        <v>70</v>
      </c>
      <c r="K15" s="26" t="str">
        <f t="shared" si="0"/>
        <v>Media</v>
      </c>
      <c r="L15" s="28">
        <f t="shared" si="1"/>
        <v>0.6</v>
      </c>
      <c r="M15" s="27" t="s">
        <v>77</v>
      </c>
      <c r="N15" s="27" t="str">
        <f t="shared" ca="1" si="14"/>
        <v xml:space="preserve">     El riesgo afecta la imagen de de la entidad con efecto publicitario sostenido a nivel de sector administrativo, nivel departamental o municipal</v>
      </c>
      <c r="O15" s="26"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27">
        <f t="shared" ca="1" si="2"/>
        <v>0.8</v>
      </c>
      <c r="Q15" s="23" t="str">
        <f t="shared" ca="1" si="3"/>
        <v>Alto</v>
      </c>
      <c r="R15" s="23">
        <f t="shared" si="12"/>
        <v>8</v>
      </c>
      <c r="S15" s="25" t="s">
        <v>123</v>
      </c>
      <c r="T15" s="25" t="s">
        <v>124</v>
      </c>
      <c r="U15" s="23" t="str">
        <f t="shared" si="4"/>
        <v>Probabilidad</v>
      </c>
      <c r="V15" s="29" t="s">
        <v>65</v>
      </c>
      <c r="W15" s="29" t="s">
        <v>66</v>
      </c>
      <c r="X15" s="30" t="str">
        <f t="shared" si="5"/>
        <v>40%</v>
      </c>
      <c r="Y15" s="29" t="s">
        <v>67</v>
      </c>
      <c r="Z15" s="29" t="s">
        <v>68</v>
      </c>
      <c r="AA15" s="29" t="s">
        <v>69</v>
      </c>
      <c r="AB15" s="31">
        <f t="shared" si="6"/>
        <v>0.36</v>
      </c>
      <c r="AC15" s="32" t="str">
        <f t="shared" si="7"/>
        <v>Baja</v>
      </c>
      <c r="AD15" s="30">
        <f t="shared" si="8"/>
        <v>0.36</v>
      </c>
      <c r="AE15" s="32" t="str">
        <f t="shared" ca="1" si="9"/>
        <v>Mayor</v>
      </c>
      <c r="AF15" s="30">
        <f t="shared" ca="1" si="10"/>
        <v>0.8</v>
      </c>
      <c r="AG15" s="29" t="str">
        <f t="shared" ca="1" si="11"/>
        <v>Alto</v>
      </c>
      <c r="AH15" s="29" t="s">
        <v>70</v>
      </c>
      <c r="AI15" s="26"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33"/>
      <c r="AK15" s="34"/>
      <c r="AL15" s="35"/>
      <c r="AM15" s="36"/>
      <c r="AN15" s="34"/>
      <c r="AO15" s="35"/>
      <c r="AP15" s="35"/>
      <c r="AQ15" s="1"/>
      <c r="AR15" s="1"/>
      <c r="AS15" s="1"/>
      <c r="AT15" s="1"/>
      <c r="AU15" s="1"/>
      <c r="AV15" s="1"/>
      <c r="AW15" s="1"/>
      <c r="AX15" s="1"/>
      <c r="AY15" s="1"/>
      <c r="AZ15" s="1"/>
      <c r="BA15" s="1"/>
      <c r="BB15" s="1"/>
    </row>
    <row r="16" spans="1:54" ht="151.5" hidden="1" customHeight="1">
      <c r="A16" s="23" t="s">
        <v>125</v>
      </c>
      <c r="B16" s="25" t="s">
        <v>126</v>
      </c>
      <c r="C16" s="25" t="s">
        <v>127</v>
      </c>
      <c r="D16" s="24" t="s">
        <v>128</v>
      </c>
      <c r="E16" s="26" t="s">
        <v>57</v>
      </c>
      <c r="F16" s="24" t="s">
        <v>92</v>
      </c>
      <c r="G16" s="25" t="s">
        <v>129</v>
      </c>
      <c r="H16" s="26" t="s">
        <v>60</v>
      </c>
      <c r="I16" s="26" t="s">
        <v>61</v>
      </c>
      <c r="J16" s="23">
        <v>1000</v>
      </c>
      <c r="K16" s="26" t="str">
        <f t="shared" si="0"/>
        <v>Alta</v>
      </c>
      <c r="L16" s="28">
        <f t="shared" si="1"/>
        <v>0.8</v>
      </c>
      <c r="M16" s="27" t="s">
        <v>77</v>
      </c>
      <c r="N16" s="27" t="str">
        <f ca="1">IF(NOT(ISERROR(MATCH(M16,'Anexo 3 Tabla Impacto'!$B$221:$B$223,0))),'Anexo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26"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27">
        <f t="shared" ca="1" si="2"/>
        <v>0.8</v>
      </c>
      <c r="Q16" s="23" t="str">
        <f t="shared" ca="1" si="3"/>
        <v>Alto</v>
      </c>
      <c r="R16" s="23">
        <f t="shared" si="12"/>
        <v>9</v>
      </c>
      <c r="S16" s="25" t="s">
        <v>130</v>
      </c>
      <c r="T16" s="25" t="s">
        <v>79</v>
      </c>
      <c r="U16" s="23" t="str">
        <f t="shared" si="4"/>
        <v>Probabilidad</v>
      </c>
      <c r="V16" s="29" t="s">
        <v>65</v>
      </c>
      <c r="W16" s="29" t="s">
        <v>66</v>
      </c>
      <c r="X16" s="30" t="str">
        <f t="shared" si="5"/>
        <v>40%</v>
      </c>
      <c r="Y16" s="29" t="s">
        <v>67</v>
      </c>
      <c r="Z16" s="29" t="s">
        <v>68</v>
      </c>
      <c r="AA16" s="29" t="s">
        <v>69</v>
      </c>
      <c r="AB16" s="31">
        <f t="shared" si="6"/>
        <v>0.48</v>
      </c>
      <c r="AC16" s="32" t="str">
        <f t="shared" si="7"/>
        <v>Media</v>
      </c>
      <c r="AD16" s="30">
        <f t="shared" si="8"/>
        <v>0.48</v>
      </c>
      <c r="AE16" s="32" t="str">
        <f t="shared" ca="1" si="9"/>
        <v>Mayor</v>
      </c>
      <c r="AF16" s="30">
        <f t="shared" ca="1" si="10"/>
        <v>0.8</v>
      </c>
      <c r="AG16" s="29" t="str">
        <f t="shared" ca="1" si="11"/>
        <v>Alto</v>
      </c>
      <c r="AH16" s="29" t="s">
        <v>70</v>
      </c>
      <c r="AI16" s="26" t="str">
        <f ca="1">+IF(OR(AG16="Moderado",AG16="bajo"),Listas!$D$2,Listas!$D$3)</f>
        <v>Reduzca la probabilidad o impacto implementando acciones preventivas diferentes a los controles en un plan de tratamiento que identifique actividad, con fecha, responsable. También puede compartir o transferir el riesgo.</v>
      </c>
      <c r="AJ16" s="33"/>
      <c r="AK16" s="34"/>
      <c r="AL16" s="35"/>
      <c r="AM16" s="36"/>
      <c r="AN16" s="34"/>
      <c r="AO16" s="35"/>
      <c r="AP16" s="35"/>
      <c r="AQ16" s="1"/>
      <c r="AR16" s="1"/>
      <c r="AS16" s="1"/>
      <c r="AT16" s="1"/>
      <c r="AU16" s="1"/>
      <c r="AV16" s="1"/>
      <c r="AW16" s="1"/>
      <c r="AX16" s="1"/>
      <c r="AY16" s="1"/>
      <c r="AZ16" s="1"/>
      <c r="BA16" s="1"/>
      <c r="BB16" s="1"/>
    </row>
    <row r="17" spans="1:54" ht="151.5" hidden="1" customHeight="1">
      <c r="A17" s="23" t="s">
        <v>131</v>
      </c>
      <c r="B17" s="25" t="s">
        <v>132</v>
      </c>
      <c r="C17" s="25" t="s">
        <v>133</v>
      </c>
      <c r="D17" s="24" t="s">
        <v>99</v>
      </c>
      <c r="E17" s="26" t="s">
        <v>57</v>
      </c>
      <c r="F17" s="24" t="s">
        <v>92</v>
      </c>
      <c r="G17" s="25" t="s">
        <v>134</v>
      </c>
      <c r="H17" s="26" t="s">
        <v>60</v>
      </c>
      <c r="I17" s="26" t="s">
        <v>61</v>
      </c>
      <c r="J17" s="23">
        <v>1</v>
      </c>
      <c r="K17" s="26" t="str">
        <f t="shared" si="0"/>
        <v>Muy Baja</v>
      </c>
      <c r="L17" s="28">
        <f t="shared" si="1"/>
        <v>0.2</v>
      </c>
      <c r="M17" s="27" t="s">
        <v>77</v>
      </c>
      <c r="N17" s="27" t="str">
        <f t="shared" ref="N17:N23" ca="1" si="15">IF(NOT(ISERROR(MATCH(M17,ANCHORARRAY(#REF!),0))),#REF!&amp;"Por favor no seleccionar los criterios de impacto",M17)</f>
        <v xml:space="preserve">     El riesgo afecta la imagen de de la entidad con efecto publicitario sostenido a nivel de sector administrativo, nivel departamental o municipal</v>
      </c>
      <c r="O17" s="26"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27">
        <f t="shared" ca="1" si="2"/>
        <v>0.8</v>
      </c>
      <c r="Q17" s="23" t="str">
        <f t="shared" ca="1" si="3"/>
        <v>Alto</v>
      </c>
      <c r="R17" s="23">
        <f t="shared" si="12"/>
        <v>10</v>
      </c>
      <c r="S17" s="25" t="s">
        <v>135</v>
      </c>
      <c r="T17" s="25" t="s">
        <v>136</v>
      </c>
      <c r="U17" s="23" t="str">
        <f t="shared" si="4"/>
        <v>Probabilidad</v>
      </c>
      <c r="V17" s="29" t="s">
        <v>65</v>
      </c>
      <c r="W17" s="29" t="s">
        <v>66</v>
      </c>
      <c r="X17" s="30" t="str">
        <f t="shared" si="5"/>
        <v>40%</v>
      </c>
      <c r="Y17" s="29" t="s">
        <v>67</v>
      </c>
      <c r="Z17" s="29" t="s">
        <v>68</v>
      </c>
      <c r="AA17" s="29" t="s">
        <v>69</v>
      </c>
      <c r="AB17" s="31">
        <f t="shared" si="6"/>
        <v>0.12</v>
      </c>
      <c r="AC17" s="32" t="str">
        <f t="shared" si="7"/>
        <v>Muy Baja</v>
      </c>
      <c r="AD17" s="30">
        <f t="shared" si="8"/>
        <v>0.12</v>
      </c>
      <c r="AE17" s="32" t="str">
        <f t="shared" ca="1" si="9"/>
        <v>Mayor</v>
      </c>
      <c r="AF17" s="30">
        <f t="shared" ca="1" si="10"/>
        <v>0.8</v>
      </c>
      <c r="AG17" s="29" t="str">
        <f t="shared" ca="1" si="11"/>
        <v>Alto</v>
      </c>
      <c r="AH17" s="29" t="s">
        <v>70</v>
      </c>
      <c r="AI17" s="26"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33"/>
      <c r="AK17" s="34"/>
      <c r="AL17" s="35"/>
      <c r="AM17" s="36"/>
      <c r="AN17" s="34"/>
      <c r="AO17" s="35"/>
      <c r="AP17" s="35"/>
      <c r="AQ17" s="1"/>
      <c r="AR17" s="1"/>
      <c r="AS17" s="1"/>
      <c r="AT17" s="1"/>
      <c r="AU17" s="1"/>
      <c r="AV17" s="1"/>
      <c r="AW17" s="1"/>
      <c r="AX17" s="1"/>
      <c r="AY17" s="1"/>
      <c r="AZ17" s="1"/>
      <c r="BA17" s="1"/>
      <c r="BB17" s="1"/>
    </row>
    <row r="18" spans="1:54" ht="151.5" hidden="1" customHeight="1">
      <c r="A18" s="23" t="s">
        <v>137</v>
      </c>
      <c r="B18" s="25" t="s">
        <v>138</v>
      </c>
      <c r="C18" s="25" t="s">
        <v>139</v>
      </c>
      <c r="D18" s="24" t="s">
        <v>140</v>
      </c>
      <c r="E18" s="26" t="s">
        <v>57</v>
      </c>
      <c r="F18" s="24" t="s">
        <v>141</v>
      </c>
      <c r="G18" s="25" t="s">
        <v>142</v>
      </c>
      <c r="H18" s="26" t="s">
        <v>60</v>
      </c>
      <c r="I18" s="26" t="s">
        <v>61</v>
      </c>
      <c r="J18" s="23">
        <v>3000</v>
      </c>
      <c r="K18" s="26" t="str">
        <f t="shared" si="0"/>
        <v>Alta</v>
      </c>
      <c r="L18" s="28">
        <f t="shared" si="1"/>
        <v>0.8</v>
      </c>
      <c r="M18" s="27" t="s">
        <v>77</v>
      </c>
      <c r="N18" s="27" t="str">
        <f t="shared" ca="1" si="15"/>
        <v xml:space="preserve">     El riesgo afecta la imagen de de la entidad con efecto publicitario sostenido a nivel de sector administrativo, nivel departamental o municipal</v>
      </c>
      <c r="O18" s="26"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27">
        <f t="shared" ca="1" si="2"/>
        <v>0.8</v>
      </c>
      <c r="Q18" s="23" t="str">
        <f t="shared" ca="1" si="3"/>
        <v>Alto</v>
      </c>
      <c r="R18" s="23">
        <f t="shared" si="12"/>
        <v>11</v>
      </c>
      <c r="S18" s="25" t="s">
        <v>143</v>
      </c>
      <c r="T18" s="25" t="s">
        <v>79</v>
      </c>
      <c r="U18" s="23" t="str">
        <f t="shared" si="4"/>
        <v>Probabilidad</v>
      </c>
      <c r="V18" s="29" t="s">
        <v>65</v>
      </c>
      <c r="W18" s="29" t="s">
        <v>66</v>
      </c>
      <c r="X18" s="30" t="str">
        <f t="shared" si="5"/>
        <v>40%</v>
      </c>
      <c r="Y18" s="29" t="s">
        <v>67</v>
      </c>
      <c r="Z18" s="29" t="s">
        <v>68</v>
      </c>
      <c r="AA18" s="29" t="s">
        <v>69</v>
      </c>
      <c r="AB18" s="31">
        <f t="shared" si="6"/>
        <v>0.48</v>
      </c>
      <c r="AC18" s="32" t="str">
        <f t="shared" si="7"/>
        <v>Media</v>
      </c>
      <c r="AD18" s="30">
        <f t="shared" si="8"/>
        <v>0.48</v>
      </c>
      <c r="AE18" s="32" t="str">
        <f t="shared" ca="1" si="9"/>
        <v>Mayor</v>
      </c>
      <c r="AF18" s="30">
        <f t="shared" ca="1" si="10"/>
        <v>0.8</v>
      </c>
      <c r="AG18" s="29" t="str">
        <f t="shared" ca="1" si="11"/>
        <v>Alto</v>
      </c>
      <c r="AH18" s="29" t="s">
        <v>70</v>
      </c>
      <c r="AI18" s="26"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33"/>
      <c r="AK18" s="34"/>
      <c r="AL18" s="35"/>
      <c r="AM18" s="41"/>
      <c r="AN18" s="34"/>
      <c r="AO18" s="35"/>
      <c r="AP18" s="35"/>
      <c r="AQ18" s="1"/>
      <c r="AR18" s="1"/>
      <c r="AS18" s="1"/>
      <c r="AT18" s="1"/>
      <c r="AU18" s="1"/>
      <c r="AV18" s="1"/>
      <c r="AW18" s="1"/>
      <c r="AX18" s="1"/>
      <c r="AY18" s="1"/>
      <c r="AZ18" s="1"/>
      <c r="BA18" s="1"/>
      <c r="BB18" s="1"/>
    </row>
    <row r="19" spans="1:54" ht="151.5" hidden="1" customHeight="1">
      <c r="A19" s="23" t="s">
        <v>144</v>
      </c>
      <c r="B19" s="25" t="s">
        <v>145</v>
      </c>
      <c r="C19" s="25" t="s">
        <v>146</v>
      </c>
      <c r="D19" s="24" t="s">
        <v>147</v>
      </c>
      <c r="E19" s="26" t="s">
        <v>57</v>
      </c>
      <c r="F19" s="24" t="s">
        <v>92</v>
      </c>
      <c r="G19" s="25" t="s">
        <v>148</v>
      </c>
      <c r="H19" s="26" t="s">
        <v>60</v>
      </c>
      <c r="I19" s="26" t="s">
        <v>61</v>
      </c>
      <c r="J19" s="23">
        <v>35</v>
      </c>
      <c r="K19" s="26" t="str">
        <f t="shared" si="0"/>
        <v>Media</v>
      </c>
      <c r="L19" s="27">
        <f t="shared" si="1"/>
        <v>0.6</v>
      </c>
      <c r="M19" s="27" t="s">
        <v>101</v>
      </c>
      <c r="N19" s="27" t="str">
        <f t="shared" ca="1" si="15"/>
        <v xml:space="preserve">     El riesgo afecta la imagen de la entidad a nivel nacional, con efecto publicitarios sostenible a nivel país</v>
      </c>
      <c r="O19" s="26"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27">
        <f t="shared" ca="1" si="2"/>
        <v>1</v>
      </c>
      <c r="Q19" s="23" t="str">
        <f t="shared" ca="1" si="3"/>
        <v>Extremo</v>
      </c>
      <c r="R19" s="23">
        <f t="shared" si="12"/>
        <v>12</v>
      </c>
      <c r="S19" s="25" t="s">
        <v>149</v>
      </c>
      <c r="T19" s="25" t="s">
        <v>150</v>
      </c>
      <c r="U19" s="23" t="str">
        <f t="shared" si="4"/>
        <v>Probabilidad</v>
      </c>
      <c r="V19" s="29" t="s">
        <v>65</v>
      </c>
      <c r="W19" s="29" t="s">
        <v>66</v>
      </c>
      <c r="X19" s="30" t="str">
        <f t="shared" si="5"/>
        <v>40%</v>
      </c>
      <c r="Y19" s="29" t="s">
        <v>67</v>
      </c>
      <c r="Z19" s="29" t="s">
        <v>68</v>
      </c>
      <c r="AA19" s="29" t="s">
        <v>69</v>
      </c>
      <c r="AB19" s="31">
        <f t="shared" si="6"/>
        <v>0.36</v>
      </c>
      <c r="AC19" s="32" t="str">
        <f t="shared" si="7"/>
        <v>Baja</v>
      </c>
      <c r="AD19" s="30">
        <f t="shared" si="8"/>
        <v>0.36</v>
      </c>
      <c r="AE19" s="32" t="str">
        <f t="shared" ca="1" si="9"/>
        <v>Catastrófico</v>
      </c>
      <c r="AF19" s="30">
        <f t="shared" ca="1" si="10"/>
        <v>1</v>
      </c>
      <c r="AG19" s="29" t="str">
        <f t="shared" ca="1" si="11"/>
        <v>Extremo</v>
      </c>
      <c r="AH19" s="29" t="s">
        <v>70</v>
      </c>
      <c r="AI19" s="26"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33"/>
      <c r="AK19" s="34"/>
      <c r="AL19" s="35"/>
      <c r="AM19" s="34"/>
      <c r="AN19" s="34"/>
      <c r="AO19" s="35"/>
      <c r="AP19" s="35"/>
      <c r="AQ19" s="1"/>
      <c r="AR19" s="1"/>
      <c r="AS19" s="1"/>
      <c r="AT19" s="1"/>
      <c r="AU19" s="1"/>
      <c r="AV19" s="1"/>
      <c r="AW19" s="1"/>
      <c r="AX19" s="1"/>
      <c r="AY19" s="1"/>
      <c r="AZ19" s="1"/>
      <c r="BA19" s="1"/>
      <c r="BB19" s="1"/>
    </row>
    <row r="20" spans="1:54" ht="183.75" hidden="1" customHeight="1">
      <c r="A20" s="23" t="s">
        <v>151</v>
      </c>
      <c r="B20" s="25" t="s">
        <v>152</v>
      </c>
      <c r="C20" s="25" t="s">
        <v>153</v>
      </c>
      <c r="D20" s="24" t="s">
        <v>154</v>
      </c>
      <c r="E20" s="26" t="s">
        <v>57</v>
      </c>
      <c r="F20" s="24" t="s">
        <v>58</v>
      </c>
      <c r="G20" s="25" t="s">
        <v>100</v>
      </c>
      <c r="H20" s="26" t="s">
        <v>60</v>
      </c>
      <c r="I20" s="26" t="s">
        <v>61</v>
      </c>
      <c r="J20" s="23">
        <v>1500</v>
      </c>
      <c r="K20" s="26" t="str">
        <f t="shared" si="0"/>
        <v>Alta</v>
      </c>
      <c r="L20" s="27">
        <f t="shared" si="1"/>
        <v>0.8</v>
      </c>
      <c r="M20" s="27" t="s">
        <v>101</v>
      </c>
      <c r="N20" s="27" t="str">
        <f t="shared" ca="1" si="15"/>
        <v xml:space="preserve">     El riesgo afecta la imagen de la entidad a nivel nacional, con efecto publicitarios sostenible a nivel país</v>
      </c>
      <c r="O20" s="26"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27">
        <f t="shared" ca="1" si="2"/>
        <v>1</v>
      </c>
      <c r="Q20" s="23" t="str">
        <f t="shared" ca="1" si="3"/>
        <v>Extremo</v>
      </c>
      <c r="R20" s="23">
        <f t="shared" si="12"/>
        <v>13</v>
      </c>
      <c r="S20" s="25" t="s">
        <v>155</v>
      </c>
      <c r="T20" s="25" t="s">
        <v>156</v>
      </c>
      <c r="U20" s="23" t="str">
        <f t="shared" si="4"/>
        <v>Probabilidad</v>
      </c>
      <c r="V20" s="29" t="s">
        <v>65</v>
      </c>
      <c r="W20" s="29" t="s">
        <v>66</v>
      </c>
      <c r="X20" s="30" t="str">
        <f t="shared" si="5"/>
        <v>40%</v>
      </c>
      <c r="Y20" s="29" t="s">
        <v>67</v>
      </c>
      <c r="Z20" s="29" t="s">
        <v>68</v>
      </c>
      <c r="AA20" s="29" t="s">
        <v>69</v>
      </c>
      <c r="AB20" s="31">
        <f t="shared" si="6"/>
        <v>0.48</v>
      </c>
      <c r="AC20" s="32" t="str">
        <f t="shared" si="7"/>
        <v>Media</v>
      </c>
      <c r="AD20" s="30">
        <f t="shared" si="8"/>
        <v>0.48</v>
      </c>
      <c r="AE20" s="32" t="str">
        <f t="shared" ca="1" si="9"/>
        <v>Catastrófico</v>
      </c>
      <c r="AF20" s="30">
        <f t="shared" ca="1" si="10"/>
        <v>1</v>
      </c>
      <c r="AG20" s="29" t="str">
        <f t="shared" ca="1" si="11"/>
        <v>Extremo</v>
      </c>
      <c r="AH20" s="29" t="s">
        <v>70</v>
      </c>
      <c r="AI20" s="26" t="str">
        <f ca="1">+IF(OR(AG20="Moderado",AG20="bajo"),Listas!$D$2,Listas!$D$3)</f>
        <v>Reduzca la probabilidad o impacto implementando acciones preventivas diferentes a los controles en un plan de tratamiento que identifique actividad, con fecha, responsable. También puede compartir o transferir el riesgo.</v>
      </c>
      <c r="AJ20" s="33"/>
      <c r="AK20" s="34"/>
      <c r="AL20" s="35"/>
      <c r="AM20" s="34"/>
      <c r="AN20" s="34"/>
      <c r="AO20" s="35"/>
      <c r="AP20" s="35"/>
      <c r="AQ20" s="1"/>
      <c r="AR20" s="1"/>
      <c r="AS20" s="1"/>
      <c r="AT20" s="1"/>
      <c r="AU20" s="1"/>
      <c r="AV20" s="1"/>
      <c r="AW20" s="1"/>
      <c r="AX20" s="1"/>
      <c r="AY20" s="1"/>
      <c r="AZ20" s="1"/>
      <c r="BA20" s="1"/>
      <c r="BB20" s="1"/>
    </row>
    <row r="21" spans="1:54" ht="138" hidden="1" customHeight="1">
      <c r="A21" s="23" t="s">
        <v>157</v>
      </c>
      <c r="B21" s="25" t="s">
        <v>158</v>
      </c>
      <c r="C21" s="26" t="s">
        <v>159</v>
      </c>
      <c r="D21" s="24" t="s">
        <v>160</v>
      </c>
      <c r="E21" s="26" t="s">
        <v>57</v>
      </c>
      <c r="F21" s="24" t="s">
        <v>114</v>
      </c>
      <c r="G21" s="25" t="s">
        <v>161</v>
      </c>
      <c r="H21" s="26" t="s">
        <v>60</v>
      </c>
      <c r="I21" s="26" t="s">
        <v>61</v>
      </c>
      <c r="J21" s="23">
        <v>957</v>
      </c>
      <c r="K21" s="42" t="str">
        <f t="shared" si="0"/>
        <v>Alta</v>
      </c>
      <c r="L21" s="27">
        <f t="shared" si="1"/>
        <v>0.8</v>
      </c>
      <c r="M21" s="27" t="s">
        <v>77</v>
      </c>
      <c r="N21" s="27" t="str">
        <f t="shared" ca="1" si="15"/>
        <v xml:space="preserve">     El riesgo afecta la imagen de de la entidad con efecto publicitario sostenido a nivel de sector administrativo, nivel departamental o municipal</v>
      </c>
      <c r="O21" s="42"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27">
        <f t="shared" ca="1" si="2"/>
        <v>0.8</v>
      </c>
      <c r="Q21" s="43" t="str">
        <f t="shared" ca="1" si="3"/>
        <v>Alto</v>
      </c>
      <c r="R21" s="23">
        <f t="shared" si="12"/>
        <v>14</v>
      </c>
      <c r="S21" s="24" t="s">
        <v>162</v>
      </c>
      <c r="T21" s="25" t="s">
        <v>163</v>
      </c>
      <c r="U21" s="23" t="str">
        <f t="shared" si="4"/>
        <v>Probabilidad</v>
      </c>
      <c r="V21" s="29" t="s">
        <v>65</v>
      </c>
      <c r="W21" s="29" t="s">
        <v>66</v>
      </c>
      <c r="X21" s="30" t="str">
        <f t="shared" si="5"/>
        <v>40%</v>
      </c>
      <c r="Y21" s="29" t="s">
        <v>67</v>
      </c>
      <c r="Z21" s="29" t="s">
        <v>68</v>
      </c>
      <c r="AA21" s="29" t="s">
        <v>69</v>
      </c>
      <c r="AB21" s="31">
        <f t="shared" si="6"/>
        <v>0.48</v>
      </c>
      <c r="AC21" s="32" t="str">
        <f t="shared" si="7"/>
        <v>Media</v>
      </c>
      <c r="AD21" s="30">
        <f t="shared" si="8"/>
        <v>0.48</v>
      </c>
      <c r="AE21" s="32" t="str">
        <f t="shared" ca="1" si="9"/>
        <v>Mayor</v>
      </c>
      <c r="AF21" s="30">
        <f t="shared" ca="1" si="10"/>
        <v>0.8</v>
      </c>
      <c r="AG21" s="29" t="str">
        <f t="shared" ca="1" si="11"/>
        <v>Alto</v>
      </c>
      <c r="AH21" s="29" t="s">
        <v>70</v>
      </c>
      <c r="AI21" s="26"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44"/>
      <c r="AK21" s="44"/>
      <c r="AL21" s="44"/>
      <c r="AM21" s="44"/>
      <c r="AN21" s="44"/>
      <c r="AO21" s="44"/>
      <c r="AP21" s="44"/>
      <c r="AQ21" s="45"/>
      <c r="AR21" s="45"/>
      <c r="AS21" s="45"/>
      <c r="AT21" s="45"/>
      <c r="AU21" s="45"/>
      <c r="AV21" s="45"/>
      <c r="AW21" s="45"/>
      <c r="AX21" s="45"/>
      <c r="AY21" s="45"/>
      <c r="AZ21" s="45"/>
      <c r="BA21" s="45"/>
      <c r="BB21" s="45"/>
    </row>
    <row r="22" spans="1:54" ht="177.75" customHeight="1">
      <c r="A22" s="23" t="s">
        <v>164</v>
      </c>
      <c r="B22" s="25" t="s">
        <v>89</v>
      </c>
      <c r="C22" s="26" t="s">
        <v>90</v>
      </c>
      <c r="D22" s="24" t="s">
        <v>165</v>
      </c>
      <c r="E22" s="26" t="s">
        <v>57</v>
      </c>
      <c r="F22" s="24" t="s">
        <v>114</v>
      </c>
      <c r="G22" s="25" t="s">
        <v>161</v>
      </c>
      <c r="H22" s="26" t="s">
        <v>60</v>
      </c>
      <c r="I22" s="26" t="s">
        <v>61</v>
      </c>
      <c r="J22" s="23">
        <v>30</v>
      </c>
      <c r="K22" s="42" t="str">
        <f t="shared" si="0"/>
        <v>Media</v>
      </c>
      <c r="L22" s="27">
        <f t="shared" si="1"/>
        <v>0.6</v>
      </c>
      <c r="M22" s="27" t="s">
        <v>101</v>
      </c>
      <c r="N22" s="27" t="str">
        <f t="shared" ca="1" si="15"/>
        <v xml:space="preserve">     El riesgo afecta la imagen de la entidad a nivel nacional, con efecto publicitarios sostenible a nivel país</v>
      </c>
      <c r="O22" s="42"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Catastrófico</v>
      </c>
      <c r="P22" s="27">
        <f t="shared" ca="1" si="2"/>
        <v>1</v>
      </c>
      <c r="Q22" s="43" t="str">
        <f t="shared" ca="1" si="3"/>
        <v>Extremo</v>
      </c>
      <c r="R22" s="23">
        <f t="shared" si="12"/>
        <v>15</v>
      </c>
      <c r="S22" s="24" t="s">
        <v>166</v>
      </c>
      <c r="T22" s="25" t="s">
        <v>163</v>
      </c>
      <c r="U22" s="23" t="str">
        <f t="shared" si="4"/>
        <v>Probabilidad</v>
      </c>
      <c r="V22" s="29" t="s">
        <v>65</v>
      </c>
      <c r="W22" s="29" t="s">
        <v>66</v>
      </c>
      <c r="X22" s="30" t="str">
        <f t="shared" si="5"/>
        <v>40%</v>
      </c>
      <c r="Y22" s="29" t="s">
        <v>67</v>
      </c>
      <c r="Z22" s="29" t="s">
        <v>68</v>
      </c>
      <c r="AA22" s="29" t="s">
        <v>69</v>
      </c>
      <c r="AB22" s="31">
        <f t="shared" si="6"/>
        <v>0.36</v>
      </c>
      <c r="AC22" s="32" t="str">
        <f t="shared" si="7"/>
        <v>Baja</v>
      </c>
      <c r="AD22" s="30">
        <f t="shared" si="8"/>
        <v>0.36</v>
      </c>
      <c r="AE22" s="32" t="str">
        <f t="shared" ca="1" si="9"/>
        <v>Catastrófico</v>
      </c>
      <c r="AF22" s="30">
        <f t="shared" ca="1" si="10"/>
        <v>1</v>
      </c>
      <c r="AG22" s="29" t="str">
        <f t="shared" ca="1" si="11"/>
        <v>Extremo</v>
      </c>
      <c r="AH22" s="29" t="s">
        <v>70</v>
      </c>
      <c r="AI22" s="26"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46"/>
      <c r="AK22" s="46"/>
      <c r="AL22" s="46"/>
      <c r="AM22" s="46"/>
      <c r="AN22" s="46"/>
      <c r="AO22" s="46"/>
      <c r="AP22" s="46"/>
      <c r="AQ22" s="47"/>
      <c r="AR22" s="47"/>
      <c r="AS22" s="47"/>
      <c r="AT22" s="47"/>
      <c r="AU22" s="47"/>
      <c r="AV22" s="47"/>
      <c r="AW22" s="47"/>
      <c r="AX22" s="47"/>
      <c r="AY22" s="47"/>
      <c r="AZ22" s="47"/>
      <c r="BA22" s="47"/>
      <c r="BB22" s="47"/>
    </row>
    <row r="23" spans="1:54" ht="185.25" customHeight="1">
      <c r="A23" s="23" t="s">
        <v>167</v>
      </c>
      <c r="B23" s="25" t="s">
        <v>89</v>
      </c>
      <c r="C23" s="26" t="s">
        <v>90</v>
      </c>
      <c r="D23" s="24" t="s">
        <v>168</v>
      </c>
      <c r="E23" s="26" t="s">
        <v>57</v>
      </c>
      <c r="F23" s="24" t="s">
        <v>114</v>
      </c>
      <c r="G23" s="25" t="s">
        <v>161</v>
      </c>
      <c r="H23" s="26" t="s">
        <v>60</v>
      </c>
      <c r="I23" s="26" t="s">
        <v>61</v>
      </c>
      <c r="J23" s="23">
        <v>25</v>
      </c>
      <c r="K23" s="42" t="str">
        <f t="shared" si="0"/>
        <v>Media</v>
      </c>
      <c r="L23" s="27">
        <f t="shared" si="1"/>
        <v>0.6</v>
      </c>
      <c r="M23" s="27" t="s">
        <v>101</v>
      </c>
      <c r="N23" s="27" t="str">
        <f t="shared" ca="1" si="15"/>
        <v xml:space="preserve">     El riesgo afecta la imagen de la entidad a nivel nacional, con efecto publicitarios sostenible a nivel país</v>
      </c>
      <c r="O23" s="42"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Catastrófico</v>
      </c>
      <c r="P23" s="27">
        <f t="shared" ca="1" si="2"/>
        <v>1</v>
      </c>
      <c r="Q23" s="43" t="str">
        <f t="shared" ca="1" si="3"/>
        <v>Extremo</v>
      </c>
      <c r="R23" s="23">
        <f t="shared" si="12"/>
        <v>16</v>
      </c>
      <c r="S23" s="24" t="s">
        <v>169</v>
      </c>
      <c r="T23" s="25" t="s">
        <v>163</v>
      </c>
      <c r="U23" s="23" t="str">
        <f t="shared" si="4"/>
        <v>Probabilidad</v>
      </c>
      <c r="V23" s="29" t="s">
        <v>65</v>
      </c>
      <c r="W23" s="29" t="s">
        <v>66</v>
      </c>
      <c r="X23" s="30" t="str">
        <f t="shared" si="5"/>
        <v>40%</v>
      </c>
      <c r="Y23" s="29" t="s">
        <v>67</v>
      </c>
      <c r="Z23" s="29" t="s">
        <v>68</v>
      </c>
      <c r="AA23" s="29" t="s">
        <v>69</v>
      </c>
      <c r="AB23" s="31">
        <f t="shared" si="6"/>
        <v>0.36</v>
      </c>
      <c r="AC23" s="32" t="str">
        <f t="shared" si="7"/>
        <v>Baja</v>
      </c>
      <c r="AD23" s="30">
        <f t="shared" si="8"/>
        <v>0.36</v>
      </c>
      <c r="AE23" s="32" t="str">
        <f t="shared" ca="1" si="9"/>
        <v>Catastrófico</v>
      </c>
      <c r="AF23" s="30">
        <f t="shared" ca="1" si="10"/>
        <v>1</v>
      </c>
      <c r="AG23" s="29" t="str">
        <f t="shared" ca="1" si="11"/>
        <v>Extremo</v>
      </c>
      <c r="AH23" s="29" t="s">
        <v>70</v>
      </c>
      <c r="AI23" s="26"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46"/>
      <c r="AK23" s="46"/>
      <c r="AL23" s="46"/>
      <c r="AM23" s="46"/>
      <c r="AN23" s="46"/>
      <c r="AO23" s="46"/>
      <c r="AP23" s="46"/>
      <c r="AQ23" s="47"/>
      <c r="AR23" s="47"/>
      <c r="AS23" s="47"/>
      <c r="AT23" s="47"/>
      <c r="AU23" s="47"/>
      <c r="AV23" s="47"/>
      <c r="AW23" s="47"/>
      <c r="AX23" s="47"/>
      <c r="AY23" s="47"/>
      <c r="AZ23" s="47"/>
      <c r="BA23" s="47"/>
      <c r="BB23" s="47"/>
    </row>
    <row r="24" spans="1:54" ht="207" hidden="1" customHeight="1">
      <c r="A24" s="23" t="s">
        <v>170</v>
      </c>
      <c r="B24" s="25" t="s">
        <v>171</v>
      </c>
      <c r="C24" s="25" t="s">
        <v>172</v>
      </c>
      <c r="D24" s="24" t="s">
        <v>173</v>
      </c>
      <c r="E24" s="24" t="s">
        <v>174</v>
      </c>
      <c r="F24" s="24" t="s">
        <v>114</v>
      </c>
      <c r="G24" s="25" t="s">
        <v>175</v>
      </c>
      <c r="H24" s="26" t="s">
        <v>60</v>
      </c>
      <c r="I24" s="26" t="s">
        <v>176</v>
      </c>
      <c r="J24" s="23">
        <v>50</v>
      </c>
      <c r="K24" s="42" t="str">
        <f t="shared" si="0"/>
        <v>Media</v>
      </c>
      <c r="L24" s="27">
        <v>0.4</v>
      </c>
      <c r="M24" s="26" t="s">
        <v>62</v>
      </c>
      <c r="N24" s="26" t="s">
        <v>62</v>
      </c>
      <c r="O24" s="42" t="str">
        <f>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Moderado</v>
      </c>
      <c r="P24" s="27">
        <f t="shared" si="2"/>
        <v>0.6</v>
      </c>
      <c r="Q24" s="43" t="str">
        <f t="shared" si="3"/>
        <v>Moderado</v>
      </c>
      <c r="R24" s="23">
        <f t="shared" si="12"/>
        <v>17</v>
      </c>
      <c r="S24" s="24" t="s">
        <v>177</v>
      </c>
      <c r="T24" s="25" t="s">
        <v>163</v>
      </c>
      <c r="U24" s="23" t="str">
        <f t="shared" si="4"/>
        <v>Probabilidad</v>
      </c>
      <c r="V24" s="29" t="s">
        <v>65</v>
      </c>
      <c r="W24" s="29" t="s">
        <v>66</v>
      </c>
      <c r="X24" s="30">
        <v>0.4</v>
      </c>
      <c r="Y24" s="29" t="s">
        <v>67</v>
      </c>
      <c r="Z24" s="29" t="s">
        <v>68</v>
      </c>
      <c r="AA24" s="29" t="s">
        <v>69</v>
      </c>
      <c r="AB24" s="31">
        <f t="shared" si="6"/>
        <v>0.24</v>
      </c>
      <c r="AC24" s="32" t="str">
        <f t="shared" si="7"/>
        <v>Baja</v>
      </c>
      <c r="AD24" s="30">
        <f t="shared" si="8"/>
        <v>0.24</v>
      </c>
      <c r="AE24" s="32" t="str">
        <f t="shared" si="9"/>
        <v>Moderado</v>
      </c>
      <c r="AF24" s="30">
        <f t="shared" si="10"/>
        <v>0.6</v>
      </c>
      <c r="AG24" s="29" t="str">
        <f t="shared" si="11"/>
        <v>Moderado</v>
      </c>
      <c r="AH24" s="29" t="s">
        <v>178</v>
      </c>
      <c r="AI24" s="26" t="str">
        <f>+IF(OR(AG24="Moderado",AG24="bajo"),Listas!$D$2,Listas!$D$3)</f>
        <v>Se puede aceptar el riesgo no es necesario adoptar medidas adicionales que reduzcan su probabilidad e impacto.</v>
      </c>
      <c r="AJ24" s="46"/>
      <c r="AK24" s="46"/>
      <c r="AL24" s="46"/>
      <c r="AM24" s="46"/>
      <c r="AN24" s="46"/>
      <c r="AO24" s="46"/>
      <c r="AP24" s="46"/>
      <c r="AQ24" s="47"/>
      <c r="AR24" s="47"/>
      <c r="AS24" s="47"/>
      <c r="AT24" s="47"/>
      <c r="AU24" s="47"/>
      <c r="AV24" s="47"/>
      <c r="AW24" s="47"/>
      <c r="AX24" s="47"/>
      <c r="AY24" s="47"/>
      <c r="AZ24" s="47"/>
      <c r="BA24" s="47"/>
      <c r="BB24" s="47"/>
    </row>
    <row r="25" spans="1:54"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54" ht="81.75" customHeight="1">
      <c r="A26" s="49" t="s">
        <v>179</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row>
    <row r="27" spans="1:54" ht="12.75" customHeight="1">
      <c r="A27" s="50"/>
      <c r="B27" s="50"/>
      <c r="C27" s="51"/>
      <c r="D27" s="45"/>
      <c r="E27" s="50"/>
      <c r="F27" s="50"/>
      <c r="G27" s="51"/>
      <c r="H27" s="45"/>
      <c r="I27" s="52"/>
      <c r="J27" s="45"/>
      <c r="K27" s="45"/>
      <c r="L27" s="45"/>
      <c r="M27" s="52"/>
      <c r="N27" s="45"/>
      <c r="O27" s="45"/>
      <c r="P27" s="45"/>
      <c r="Q27" s="45"/>
      <c r="R27" s="50"/>
      <c r="S27" s="45"/>
      <c r="T27" s="51"/>
      <c r="U27" s="53"/>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row>
    <row r="28" spans="1:54" ht="12.75" customHeight="1">
      <c r="A28" s="50"/>
      <c r="B28" s="50"/>
      <c r="C28" s="51"/>
      <c r="D28" s="45"/>
      <c r="E28" s="50"/>
      <c r="F28" s="50"/>
      <c r="G28" s="51"/>
      <c r="H28" s="45"/>
      <c r="I28" s="52"/>
      <c r="J28" s="45"/>
      <c r="K28" s="45"/>
      <c r="L28" s="45"/>
      <c r="M28" s="52"/>
      <c r="N28" s="45"/>
      <c r="O28" s="45"/>
      <c r="P28" s="45"/>
      <c r="Q28" s="45"/>
      <c r="R28" s="50"/>
      <c r="S28" s="45"/>
      <c r="T28" s="51"/>
      <c r="U28" s="53"/>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ht="12.75" customHeight="1">
      <c r="A29" s="50"/>
      <c r="B29" s="50"/>
      <c r="C29" s="51"/>
      <c r="D29" s="45"/>
      <c r="E29" s="50"/>
      <c r="F29" s="50"/>
      <c r="G29" s="51"/>
      <c r="H29" s="45"/>
      <c r="I29" s="52"/>
      <c r="J29" s="45"/>
      <c r="K29" s="45"/>
      <c r="L29" s="45"/>
      <c r="M29" s="52"/>
      <c r="N29" s="45"/>
      <c r="O29" s="45"/>
      <c r="P29" s="45"/>
      <c r="Q29" s="45"/>
      <c r="R29" s="50"/>
      <c r="S29" s="45"/>
      <c r="T29" s="51"/>
      <c r="U29" s="53"/>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row>
    <row r="30" spans="1:54" ht="12.75" customHeight="1">
      <c r="A30" s="50"/>
      <c r="B30" s="50"/>
      <c r="C30" s="51"/>
      <c r="D30" s="45"/>
      <c r="E30" s="50"/>
      <c r="F30" s="50"/>
      <c r="G30" s="51"/>
      <c r="H30" s="45"/>
      <c r="I30" s="52"/>
      <c r="J30" s="45"/>
      <c r="K30" s="45"/>
      <c r="L30" s="45"/>
      <c r="M30" s="52"/>
      <c r="N30" s="45"/>
      <c r="O30" s="45"/>
      <c r="P30" s="45"/>
      <c r="Q30" s="45"/>
      <c r="R30" s="50"/>
      <c r="S30" s="45"/>
      <c r="T30" s="51"/>
      <c r="U30" s="53"/>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row>
    <row r="31" spans="1:54" ht="12.75" customHeight="1">
      <c r="A31" s="50"/>
      <c r="B31" s="50"/>
      <c r="C31" s="51"/>
      <c r="D31" s="45"/>
      <c r="E31" s="50"/>
      <c r="F31" s="50"/>
      <c r="G31" s="51"/>
      <c r="H31" s="45"/>
      <c r="I31" s="52"/>
      <c r="J31" s="45"/>
      <c r="K31" s="45"/>
      <c r="L31" s="45"/>
      <c r="M31" s="52"/>
      <c r="N31" s="45"/>
      <c r="O31" s="45"/>
      <c r="P31" s="45"/>
      <c r="Q31" s="45"/>
      <c r="R31" s="50"/>
      <c r="S31" s="45"/>
      <c r="T31" s="51"/>
      <c r="U31" s="53"/>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ht="12.75" customHeight="1">
      <c r="A32" s="50"/>
      <c r="B32" s="50"/>
      <c r="C32" s="51"/>
      <c r="D32" s="45"/>
      <c r="E32" s="50"/>
      <c r="F32" s="50"/>
      <c r="G32" s="51"/>
      <c r="H32" s="45"/>
      <c r="I32" s="52"/>
      <c r="J32" s="45"/>
      <c r="K32" s="45"/>
      <c r="L32" s="45"/>
      <c r="M32" s="52"/>
      <c r="N32" s="45"/>
      <c r="O32" s="45"/>
      <c r="P32" s="45"/>
      <c r="Q32" s="45"/>
      <c r="R32" s="50"/>
      <c r="S32" s="45"/>
      <c r="T32" s="51"/>
      <c r="U32" s="53"/>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ht="12.75" customHeight="1">
      <c r="A33" s="50"/>
      <c r="B33" s="50"/>
      <c r="C33" s="51"/>
      <c r="D33" s="45"/>
      <c r="E33" s="50"/>
      <c r="F33" s="50"/>
      <c r="G33" s="51"/>
      <c r="H33" s="45"/>
      <c r="I33" s="52"/>
      <c r="J33" s="45"/>
      <c r="K33" s="45"/>
      <c r="L33" s="45"/>
      <c r="M33" s="52"/>
      <c r="N33" s="45"/>
      <c r="O33" s="45"/>
      <c r="P33" s="45"/>
      <c r="Q33" s="45"/>
      <c r="R33" s="50"/>
      <c r="S33" s="45"/>
      <c r="T33" s="51"/>
      <c r="U33" s="53"/>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row>
    <row r="34" spans="1:54" ht="12.75" customHeight="1">
      <c r="A34" s="50"/>
      <c r="B34" s="50"/>
      <c r="C34" s="51"/>
      <c r="D34" s="45"/>
      <c r="E34" s="50"/>
      <c r="F34" s="50"/>
      <c r="G34" s="51"/>
      <c r="H34" s="45"/>
      <c r="I34" s="52"/>
      <c r="J34" s="45"/>
      <c r="K34" s="45"/>
      <c r="L34" s="45"/>
      <c r="M34" s="52"/>
      <c r="N34" s="45"/>
      <c r="O34" s="45"/>
      <c r="P34" s="45"/>
      <c r="Q34" s="45"/>
      <c r="R34" s="50"/>
      <c r="S34" s="45"/>
      <c r="T34" s="51"/>
      <c r="U34" s="53"/>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ht="12.75" customHeight="1">
      <c r="A35" s="50"/>
      <c r="B35" s="50"/>
      <c r="C35" s="51"/>
      <c r="D35" s="45"/>
      <c r="E35" s="50"/>
      <c r="F35" s="50"/>
      <c r="G35" s="51"/>
      <c r="H35" s="45"/>
      <c r="I35" s="52"/>
      <c r="J35" s="45"/>
      <c r="K35" s="45"/>
      <c r="L35" s="45"/>
      <c r="M35" s="52"/>
      <c r="N35" s="45"/>
      <c r="O35" s="45"/>
      <c r="P35" s="45"/>
      <c r="Q35" s="45"/>
      <c r="R35" s="50"/>
      <c r="S35" s="45"/>
      <c r="T35" s="51"/>
      <c r="U35" s="53"/>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ht="12.75" customHeight="1">
      <c r="A36" s="50"/>
      <c r="B36" s="50"/>
      <c r="C36" s="51"/>
      <c r="D36" s="45"/>
      <c r="E36" s="50"/>
      <c r="F36" s="50"/>
      <c r="G36" s="51"/>
      <c r="H36" s="45"/>
      <c r="I36" s="52"/>
      <c r="J36" s="45"/>
      <c r="K36" s="45"/>
      <c r="L36" s="45"/>
      <c r="M36" s="52"/>
      <c r="N36" s="45"/>
      <c r="O36" s="45"/>
      <c r="P36" s="45"/>
      <c r="Q36" s="45"/>
      <c r="R36" s="50"/>
      <c r="S36" s="45"/>
      <c r="T36" s="51"/>
      <c r="U36" s="53"/>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row>
    <row r="37" spans="1:54" ht="12.75" customHeight="1">
      <c r="A37" s="50"/>
      <c r="B37" s="50"/>
      <c r="C37" s="51"/>
      <c r="D37" s="45"/>
      <c r="E37" s="50"/>
      <c r="F37" s="50"/>
      <c r="G37" s="51"/>
      <c r="H37" s="45"/>
      <c r="I37" s="52"/>
      <c r="J37" s="45"/>
      <c r="K37" s="45"/>
      <c r="L37" s="45"/>
      <c r="M37" s="52"/>
      <c r="N37" s="45"/>
      <c r="O37" s="45"/>
      <c r="P37" s="45"/>
      <c r="Q37" s="45"/>
      <c r="R37" s="50"/>
      <c r="S37" s="45"/>
      <c r="T37" s="51"/>
      <c r="U37" s="53"/>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row>
    <row r="38" spans="1:54" ht="12.75" customHeight="1">
      <c r="A38" s="50"/>
      <c r="B38" s="50"/>
      <c r="C38" s="51"/>
      <c r="D38" s="45"/>
      <c r="E38" s="50"/>
      <c r="F38" s="50"/>
      <c r="G38" s="51"/>
      <c r="H38" s="45"/>
      <c r="I38" s="52"/>
      <c r="J38" s="45"/>
      <c r="K38" s="45"/>
      <c r="L38" s="45"/>
      <c r="M38" s="52"/>
      <c r="N38" s="45"/>
      <c r="O38" s="45"/>
      <c r="P38" s="45"/>
      <c r="Q38" s="45"/>
      <c r="R38" s="50"/>
      <c r="S38" s="45"/>
      <c r="T38" s="51"/>
      <c r="U38" s="53"/>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4" ht="12.75" customHeight="1">
      <c r="A39" s="50"/>
      <c r="B39" s="50"/>
      <c r="C39" s="51"/>
      <c r="D39" s="45"/>
      <c r="E39" s="50"/>
      <c r="F39" s="50"/>
      <c r="G39" s="51"/>
      <c r="H39" s="45"/>
      <c r="I39" s="52"/>
      <c r="J39" s="45"/>
      <c r="K39" s="45"/>
      <c r="L39" s="45"/>
      <c r="M39" s="52"/>
      <c r="N39" s="45"/>
      <c r="O39" s="45"/>
      <c r="P39" s="45"/>
      <c r="Q39" s="45"/>
      <c r="R39" s="50"/>
      <c r="S39" s="45"/>
      <c r="T39" s="51"/>
      <c r="U39" s="53"/>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1:54" ht="12.75" customHeight="1">
      <c r="A40" s="50"/>
      <c r="B40" s="50"/>
      <c r="C40" s="51"/>
      <c r="D40" s="45"/>
      <c r="E40" s="50"/>
      <c r="F40" s="50"/>
      <c r="G40" s="51"/>
      <c r="H40" s="45"/>
      <c r="I40" s="52"/>
      <c r="J40" s="45"/>
      <c r="K40" s="45"/>
      <c r="L40" s="45"/>
      <c r="M40" s="52"/>
      <c r="N40" s="45"/>
      <c r="O40" s="45"/>
      <c r="P40" s="45"/>
      <c r="Q40" s="45"/>
      <c r="R40" s="50"/>
      <c r="S40" s="45"/>
      <c r="T40" s="51"/>
      <c r="U40" s="53"/>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1:54" ht="12.75" customHeight="1">
      <c r="A41" s="50"/>
      <c r="B41" s="50"/>
      <c r="C41" s="51"/>
      <c r="D41" s="45"/>
      <c r="E41" s="50"/>
      <c r="F41" s="50"/>
      <c r="G41" s="51"/>
      <c r="H41" s="45"/>
      <c r="I41" s="52"/>
      <c r="J41" s="45"/>
      <c r="K41" s="45"/>
      <c r="L41" s="45"/>
      <c r="M41" s="52"/>
      <c r="N41" s="45"/>
      <c r="O41" s="45"/>
      <c r="P41" s="45"/>
      <c r="Q41" s="45"/>
      <c r="R41" s="50"/>
      <c r="S41" s="45"/>
      <c r="T41" s="51"/>
      <c r="U41" s="53"/>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1:54" ht="12.75" customHeight="1">
      <c r="A42" s="50"/>
      <c r="B42" s="50"/>
      <c r="C42" s="51"/>
      <c r="D42" s="45"/>
      <c r="E42" s="50"/>
      <c r="F42" s="50"/>
      <c r="G42" s="51"/>
      <c r="H42" s="45"/>
      <c r="I42" s="52"/>
      <c r="J42" s="45"/>
      <c r="K42" s="45"/>
      <c r="L42" s="45"/>
      <c r="M42" s="52"/>
      <c r="N42" s="45"/>
      <c r="O42" s="45"/>
      <c r="P42" s="45"/>
      <c r="Q42" s="45"/>
      <c r="R42" s="50"/>
      <c r="S42" s="45"/>
      <c r="T42" s="51"/>
      <c r="U42" s="53"/>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1:54" ht="12.75" customHeight="1">
      <c r="A43" s="50"/>
      <c r="B43" s="50"/>
      <c r="C43" s="51"/>
      <c r="D43" s="45"/>
      <c r="E43" s="50"/>
      <c r="F43" s="50"/>
      <c r="G43" s="51"/>
      <c r="H43" s="45"/>
      <c r="I43" s="52"/>
      <c r="J43" s="45"/>
      <c r="K43" s="45"/>
      <c r="L43" s="45"/>
      <c r="M43" s="52"/>
      <c r="N43" s="45"/>
      <c r="O43" s="45"/>
      <c r="P43" s="45"/>
      <c r="Q43" s="45"/>
      <c r="R43" s="50"/>
      <c r="S43" s="45"/>
      <c r="T43" s="51"/>
      <c r="U43" s="53"/>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1:54" ht="12.75" customHeight="1">
      <c r="A44" s="50"/>
      <c r="B44" s="50"/>
      <c r="C44" s="51"/>
      <c r="D44" s="45"/>
      <c r="E44" s="50"/>
      <c r="F44" s="50"/>
      <c r="G44" s="51"/>
      <c r="H44" s="45"/>
      <c r="I44" s="52"/>
      <c r="J44" s="45"/>
      <c r="K44" s="45"/>
      <c r="L44" s="45"/>
      <c r="M44" s="52"/>
      <c r="N44" s="45"/>
      <c r="O44" s="45"/>
      <c r="P44" s="45"/>
      <c r="Q44" s="45"/>
      <c r="R44" s="50"/>
      <c r="S44" s="45"/>
      <c r="T44" s="51"/>
      <c r="U44" s="53"/>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54" ht="12.75" customHeight="1">
      <c r="A45" s="50"/>
      <c r="B45" s="50"/>
      <c r="C45" s="51"/>
      <c r="D45" s="45"/>
      <c r="E45" s="50"/>
      <c r="F45" s="50"/>
      <c r="G45" s="51"/>
      <c r="H45" s="45"/>
      <c r="I45" s="52"/>
      <c r="J45" s="45"/>
      <c r="K45" s="45"/>
      <c r="L45" s="45"/>
      <c r="M45" s="52"/>
      <c r="N45" s="45"/>
      <c r="O45" s="45"/>
      <c r="P45" s="45"/>
      <c r="Q45" s="45"/>
      <c r="R45" s="50"/>
      <c r="S45" s="45"/>
      <c r="T45" s="51"/>
      <c r="U45" s="53"/>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row>
    <row r="46" spans="1:54" ht="12.75" customHeight="1">
      <c r="A46" s="50"/>
      <c r="B46" s="50"/>
      <c r="C46" s="51"/>
      <c r="D46" s="45"/>
      <c r="E46" s="50"/>
      <c r="F46" s="50"/>
      <c r="G46" s="51"/>
      <c r="H46" s="45"/>
      <c r="I46" s="52"/>
      <c r="J46" s="45"/>
      <c r="K46" s="45"/>
      <c r="L46" s="45"/>
      <c r="M46" s="52"/>
      <c r="N46" s="45"/>
      <c r="O46" s="45"/>
      <c r="P46" s="45"/>
      <c r="Q46" s="45"/>
      <c r="R46" s="50"/>
      <c r="S46" s="45"/>
      <c r="T46" s="51"/>
      <c r="U46" s="53"/>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ht="12.75" customHeight="1">
      <c r="A47" s="50"/>
      <c r="B47" s="50"/>
      <c r="C47" s="51"/>
      <c r="D47" s="45"/>
      <c r="E47" s="50"/>
      <c r="F47" s="50"/>
      <c r="G47" s="51"/>
      <c r="H47" s="45"/>
      <c r="I47" s="52"/>
      <c r="J47" s="45"/>
      <c r="K47" s="45"/>
      <c r="L47" s="45"/>
      <c r="M47" s="52"/>
      <c r="N47" s="45"/>
      <c r="O47" s="45"/>
      <c r="P47" s="45"/>
      <c r="Q47" s="45"/>
      <c r="R47" s="50"/>
      <c r="S47" s="45"/>
      <c r="T47" s="51"/>
      <c r="U47" s="53"/>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ht="12.75" customHeight="1">
      <c r="A48" s="50"/>
      <c r="B48" s="50"/>
      <c r="C48" s="51"/>
      <c r="D48" s="45"/>
      <c r="E48" s="50"/>
      <c r="F48" s="50"/>
      <c r="G48" s="51"/>
      <c r="H48" s="45"/>
      <c r="I48" s="52"/>
      <c r="J48" s="45"/>
      <c r="K48" s="45"/>
      <c r="L48" s="45"/>
      <c r="M48" s="52"/>
      <c r="N48" s="45"/>
      <c r="O48" s="45"/>
      <c r="P48" s="45"/>
      <c r="Q48" s="45"/>
      <c r="R48" s="50"/>
      <c r="S48" s="45"/>
      <c r="T48" s="51"/>
      <c r="U48" s="53"/>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row>
    <row r="49" spans="1:54" ht="12.75" customHeight="1">
      <c r="A49" s="50"/>
      <c r="B49" s="50"/>
      <c r="C49" s="51"/>
      <c r="D49" s="45"/>
      <c r="E49" s="50"/>
      <c r="F49" s="50"/>
      <c r="G49" s="51"/>
      <c r="H49" s="45"/>
      <c r="I49" s="52"/>
      <c r="J49" s="45"/>
      <c r="K49" s="45"/>
      <c r="L49" s="45"/>
      <c r="M49" s="52"/>
      <c r="N49" s="45"/>
      <c r="O49" s="45"/>
      <c r="P49" s="45"/>
      <c r="Q49" s="45"/>
      <c r="R49" s="50"/>
      <c r="S49" s="45"/>
      <c r="T49" s="51"/>
      <c r="U49" s="53"/>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row>
    <row r="50" spans="1:54" ht="12.75" customHeight="1">
      <c r="A50" s="50"/>
      <c r="B50" s="50"/>
      <c r="C50" s="51"/>
      <c r="D50" s="45"/>
      <c r="E50" s="50"/>
      <c r="F50" s="50"/>
      <c r="G50" s="51"/>
      <c r="H50" s="45"/>
      <c r="I50" s="52"/>
      <c r="J50" s="45"/>
      <c r="K50" s="45"/>
      <c r="L50" s="45"/>
      <c r="M50" s="52"/>
      <c r="N50" s="45"/>
      <c r="O50" s="45"/>
      <c r="P50" s="45"/>
      <c r="Q50" s="45"/>
      <c r="R50" s="50"/>
      <c r="S50" s="45"/>
      <c r="T50" s="51"/>
      <c r="U50" s="53"/>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row>
    <row r="51" spans="1:54" ht="12.75" customHeight="1">
      <c r="A51" s="50"/>
      <c r="B51" s="50"/>
      <c r="C51" s="51"/>
      <c r="D51" s="45"/>
      <c r="E51" s="50"/>
      <c r="F51" s="50"/>
      <c r="G51" s="51"/>
      <c r="H51" s="45"/>
      <c r="I51" s="52"/>
      <c r="J51" s="45"/>
      <c r="K51" s="45"/>
      <c r="L51" s="45"/>
      <c r="M51" s="52"/>
      <c r="N51" s="45"/>
      <c r="O51" s="45"/>
      <c r="P51" s="45"/>
      <c r="Q51" s="45"/>
      <c r="R51" s="50"/>
      <c r="S51" s="45"/>
      <c r="T51" s="51"/>
      <c r="U51" s="53"/>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row>
    <row r="52" spans="1:54" ht="12.75" customHeight="1">
      <c r="A52" s="50"/>
      <c r="B52" s="50"/>
      <c r="C52" s="51"/>
      <c r="D52" s="45"/>
      <c r="E52" s="50"/>
      <c r="F52" s="50"/>
      <c r="G52" s="51"/>
      <c r="H52" s="45"/>
      <c r="I52" s="52"/>
      <c r="J52" s="45"/>
      <c r="K52" s="45"/>
      <c r="L52" s="45"/>
      <c r="M52" s="52"/>
      <c r="N52" s="45"/>
      <c r="O52" s="45"/>
      <c r="P52" s="45"/>
      <c r="Q52" s="45"/>
      <c r="R52" s="50"/>
      <c r="S52" s="45"/>
      <c r="T52" s="51"/>
      <c r="U52" s="53"/>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row>
    <row r="53" spans="1:54" ht="12.75" customHeight="1">
      <c r="A53" s="50"/>
      <c r="B53" s="50"/>
      <c r="C53" s="51"/>
      <c r="D53" s="45"/>
      <c r="E53" s="50"/>
      <c r="F53" s="50"/>
      <c r="G53" s="51"/>
      <c r="H53" s="45"/>
      <c r="I53" s="52"/>
      <c r="J53" s="45"/>
      <c r="K53" s="45"/>
      <c r="L53" s="45"/>
      <c r="M53" s="52"/>
      <c r="N53" s="45"/>
      <c r="O53" s="45"/>
      <c r="P53" s="45"/>
      <c r="Q53" s="45"/>
      <c r="R53" s="50"/>
      <c r="S53" s="45"/>
      <c r="T53" s="51"/>
      <c r="U53" s="53"/>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row>
    <row r="54" spans="1:54" ht="12.75" customHeight="1">
      <c r="A54" s="50"/>
      <c r="B54" s="50"/>
      <c r="C54" s="51"/>
      <c r="D54" s="45"/>
      <c r="E54" s="50"/>
      <c r="F54" s="50"/>
      <c r="G54" s="51"/>
      <c r="H54" s="45"/>
      <c r="I54" s="52"/>
      <c r="J54" s="45"/>
      <c r="K54" s="45"/>
      <c r="L54" s="45"/>
      <c r="M54" s="52"/>
      <c r="N54" s="45"/>
      <c r="O54" s="45"/>
      <c r="P54" s="45"/>
      <c r="Q54" s="45"/>
      <c r="R54" s="50"/>
      <c r="S54" s="45"/>
      <c r="T54" s="51"/>
      <c r="U54" s="53"/>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row>
    <row r="55" spans="1:54" ht="12.75" customHeight="1">
      <c r="A55" s="50"/>
      <c r="B55" s="50"/>
      <c r="C55" s="51"/>
      <c r="D55" s="45"/>
      <c r="E55" s="50"/>
      <c r="F55" s="50"/>
      <c r="G55" s="51"/>
      <c r="H55" s="45"/>
      <c r="I55" s="52"/>
      <c r="J55" s="45"/>
      <c r="K55" s="45"/>
      <c r="L55" s="45"/>
      <c r="M55" s="52"/>
      <c r="N55" s="45"/>
      <c r="O55" s="45"/>
      <c r="P55" s="45"/>
      <c r="Q55" s="45"/>
      <c r="R55" s="50"/>
      <c r="S55" s="45"/>
      <c r="T55" s="51"/>
      <c r="U55" s="53"/>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ht="12.75" customHeight="1">
      <c r="A56" s="50"/>
      <c r="B56" s="50"/>
      <c r="C56" s="51"/>
      <c r="D56" s="45"/>
      <c r="E56" s="50"/>
      <c r="F56" s="50"/>
      <c r="G56" s="51"/>
      <c r="H56" s="45"/>
      <c r="I56" s="52"/>
      <c r="J56" s="45"/>
      <c r="K56" s="45"/>
      <c r="L56" s="45"/>
      <c r="M56" s="52"/>
      <c r="N56" s="45"/>
      <c r="O56" s="45"/>
      <c r="P56" s="45"/>
      <c r="Q56" s="45"/>
      <c r="R56" s="50"/>
      <c r="S56" s="45"/>
      <c r="T56" s="51"/>
      <c r="U56" s="53"/>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ht="12.75" customHeight="1">
      <c r="A57" s="50"/>
      <c r="B57" s="50"/>
      <c r="C57" s="51"/>
      <c r="D57" s="45"/>
      <c r="E57" s="50"/>
      <c r="F57" s="50"/>
      <c r="G57" s="51"/>
      <c r="H57" s="45"/>
      <c r="I57" s="52"/>
      <c r="J57" s="45"/>
      <c r="K57" s="45"/>
      <c r="L57" s="45"/>
      <c r="M57" s="52"/>
      <c r="N57" s="45"/>
      <c r="O57" s="45"/>
      <c r="P57" s="45"/>
      <c r="Q57" s="45"/>
      <c r="R57" s="50"/>
      <c r="S57" s="45"/>
      <c r="T57" s="51"/>
      <c r="U57" s="53"/>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ht="12.75" customHeight="1">
      <c r="A58" s="50"/>
      <c r="B58" s="50"/>
      <c r="C58" s="51"/>
      <c r="D58" s="45"/>
      <c r="E58" s="50"/>
      <c r="F58" s="50"/>
      <c r="G58" s="51"/>
      <c r="H58" s="45"/>
      <c r="I58" s="52"/>
      <c r="J58" s="45"/>
      <c r="K58" s="45"/>
      <c r="L58" s="45"/>
      <c r="M58" s="52"/>
      <c r="N58" s="45"/>
      <c r="O58" s="45"/>
      <c r="P58" s="45"/>
      <c r="Q58" s="45"/>
      <c r="R58" s="50"/>
      <c r="S58" s="45"/>
      <c r="T58" s="51"/>
      <c r="U58" s="53"/>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ht="12.75" customHeight="1">
      <c r="A59" s="50"/>
      <c r="B59" s="50"/>
      <c r="C59" s="51"/>
      <c r="D59" s="45"/>
      <c r="E59" s="50"/>
      <c r="F59" s="50"/>
      <c r="G59" s="51"/>
      <c r="H59" s="45"/>
      <c r="I59" s="52"/>
      <c r="J59" s="45"/>
      <c r="K59" s="45"/>
      <c r="L59" s="45"/>
      <c r="M59" s="52"/>
      <c r="N59" s="45"/>
      <c r="O59" s="45"/>
      <c r="P59" s="45"/>
      <c r="Q59" s="45"/>
      <c r="R59" s="50"/>
      <c r="S59" s="45"/>
      <c r="T59" s="51"/>
      <c r="U59" s="53"/>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ht="12.75" customHeight="1">
      <c r="A60" s="50"/>
      <c r="B60" s="50"/>
      <c r="C60" s="51"/>
      <c r="D60" s="45"/>
      <c r="E60" s="50"/>
      <c r="F60" s="50"/>
      <c r="G60" s="51"/>
      <c r="H60" s="45"/>
      <c r="I60" s="52"/>
      <c r="J60" s="45"/>
      <c r="K60" s="45"/>
      <c r="L60" s="45"/>
      <c r="M60" s="52"/>
      <c r="N60" s="45"/>
      <c r="O60" s="45"/>
      <c r="P60" s="45"/>
      <c r="Q60" s="45"/>
      <c r="R60" s="50"/>
      <c r="S60" s="45"/>
      <c r="T60" s="51"/>
      <c r="U60" s="53"/>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ht="12.75" customHeight="1">
      <c r="A61" s="50"/>
      <c r="B61" s="50"/>
      <c r="C61" s="51"/>
      <c r="D61" s="45"/>
      <c r="E61" s="50"/>
      <c r="F61" s="50"/>
      <c r="G61" s="51"/>
      <c r="H61" s="45"/>
      <c r="I61" s="52"/>
      <c r="J61" s="45"/>
      <c r="K61" s="45"/>
      <c r="L61" s="45"/>
      <c r="M61" s="52"/>
      <c r="N61" s="45"/>
      <c r="O61" s="45"/>
      <c r="P61" s="45"/>
      <c r="Q61" s="45"/>
      <c r="R61" s="50"/>
      <c r="S61" s="45"/>
      <c r="T61" s="51"/>
      <c r="U61" s="53"/>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ht="12.75" customHeight="1">
      <c r="A62" s="50"/>
      <c r="B62" s="50"/>
      <c r="C62" s="51"/>
      <c r="D62" s="45"/>
      <c r="E62" s="50"/>
      <c r="F62" s="50"/>
      <c r="G62" s="51"/>
      <c r="H62" s="45"/>
      <c r="I62" s="52"/>
      <c r="J62" s="45"/>
      <c r="K62" s="45"/>
      <c r="L62" s="45"/>
      <c r="M62" s="52"/>
      <c r="N62" s="45"/>
      <c r="O62" s="45"/>
      <c r="P62" s="45"/>
      <c r="Q62" s="45"/>
      <c r="R62" s="50"/>
      <c r="S62" s="45"/>
      <c r="T62" s="51"/>
      <c r="U62" s="53"/>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ht="12.75" customHeight="1">
      <c r="A63" s="50"/>
      <c r="B63" s="50"/>
      <c r="C63" s="51"/>
      <c r="D63" s="45"/>
      <c r="E63" s="50"/>
      <c r="F63" s="50"/>
      <c r="G63" s="51"/>
      <c r="H63" s="45"/>
      <c r="I63" s="52"/>
      <c r="J63" s="45"/>
      <c r="K63" s="45"/>
      <c r="L63" s="45"/>
      <c r="M63" s="52"/>
      <c r="N63" s="45"/>
      <c r="O63" s="45"/>
      <c r="P63" s="45"/>
      <c r="Q63" s="45"/>
      <c r="R63" s="50"/>
      <c r="S63" s="45"/>
      <c r="T63" s="51"/>
      <c r="U63" s="53"/>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ht="12.75" customHeight="1">
      <c r="A64" s="50"/>
      <c r="B64" s="50"/>
      <c r="C64" s="51"/>
      <c r="D64" s="45"/>
      <c r="E64" s="50"/>
      <c r="F64" s="50"/>
      <c r="G64" s="51"/>
      <c r="H64" s="45"/>
      <c r="I64" s="52"/>
      <c r="J64" s="45"/>
      <c r="K64" s="45"/>
      <c r="L64" s="45"/>
      <c r="M64" s="52"/>
      <c r="N64" s="45"/>
      <c r="O64" s="45"/>
      <c r="P64" s="45"/>
      <c r="Q64" s="45"/>
      <c r="R64" s="50"/>
      <c r="S64" s="45"/>
      <c r="T64" s="51"/>
      <c r="U64" s="53"/>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ht="12.75" customHeight="1">
      <c r="A65" s="50"/>
      <c r="B65" s="50"/>
      <c r="C65" s="51"/>
      <c r="D65" s="45"/>
      <c r="E65" s="50"/>
      <c r="F65" s="50"/>
      <c r="G65" s="51"/>
      <c r="H65" s="45"/>
      <c r="I65" s="52"/>
      <c r="J65" s="45"/>
      <c r="K65" s="45"/>
      <c r="L65" s="45"/>
      <c r="M65" s="52"/>
      <c r="N65" s="45"/>
      <c r="O65" s="45"/>
      <c r="P65" s="45"/>
      <c r="Q65" s="45"/>
      <c r="R65" s="50"/>
      <c r="S65" s="45"/>
      <c r="T65" s="51"/>
      <c r="U65" s="53"/>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ht="12.75" customHeight="1">
      <c r="A66" s="50"/>
      <c r="B66" s="50"/>
      <c r="C66" s="51"/>
      <c r="D66" s="45"/>
      <c r="E66" s="50"/>
      <c r="F66" s="50"/>
      <c r="G66" s="51"/>
      <c r="H66" s="45"/>
      <c r="I66" s="52"/>
      <c r="J66" s="45"/>
      <c r="K66" s="45"/>
      <c r="L66" s="45"/>
      <c r="M66" s="52"/>
      <c r="N66" s="45"/>
      <c r="O66" s="45"/>
      <c r="P66" s="45"/>
      <c r="Q66" s="45"/>
      <c r="R66" s="50"/>
      <c r="S66" s="45"/>
      <c r="T66" s="51"/>
      <c r="U66" s="53"/>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ht="12.75" customHeight="1">
      <c r="A67" s="50"/>
      <c r="B67" s="50"/>
      <c r="C67" s="51"/>
      <c r="D67" s="45"/>
      <c r="E67" s="50"/>
      <c r="F67" s="50"/>
      <c r="G67" s="51"/>
      <c r="H67" s="45"/>
      <c r="I67" s="52"/>
      <c r="J67" s="45"/>
      <c r="K67" s="45"/>
      <c r="L67" s="45"/>
      <c r="M67" s="52"/>
      <c r="N67" s="45"/>
      <c r="O67" s="45"/>
      <c r="P67" s="45"/>
      <c r="Q67" s="45"/>
      <c r="R67" s="50"/>
      <c r="S67" s="45"/>
      <c r="T67" s="51"/>
      <c r="U67" s="53"/>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ht="12.75" customHeight="1">
      <c r="A68" s="50"/>
      <c r="B68" s="50"/>
      <c r="C68" s="51"/>
      <c r="D68" s="45"/>
      <c r="E68" s="50"/>
      <c r="F68" s="50"/>
      <c r="G68" s="51"/>
      <c r="H68" s="45"/>
      <c r="I68" s="52"/>
      <c r="J68" s="45"/>
      <c r="K68" s="45"/>
      <c r="L68" s="45"/>
      <c r="M68" s="52"/>
      <c r="N68" s="45"/>
      <c r="O68" s="45"/>
      <c r="P68" s="45"/>
      <c r="Q68" s="45"/>
      <c r="R68" s="50"/>
      <c r="S68" s="45"/>
      <c r="T68" s="51"/>
      <c r="U68" s="53"/>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ht="12.75" customHeight="1">
      <c r="A69" s="50"/>
      <c r="B69" s="50"/>
      <c r="C69" s="51"/>
      <c r="D69" s="45"/>
      <c r="E69" s="50"/>
      <c r="F69" s="50"/>
      <c r="G69" s="51"/>
      <c r="H69" s="45"/>
      <c r="I69" s="52"/>
      <c r="J69" s="45"/>
      <c r="K69" s="45"/>
      <c r="L69" s="45"/>
      <c r="M69" s="52"/>
      <c r="N69" s="45"/>
      <c r="O69" s="45"/>
      <c r="P69" s="45"/>
      <c r="Q69" s="45"/>
      <c r="R69" s="50"/>
      <c r="S69" s="45"/>
      <c r="T69" s="51"/>
      <c r="U69" s="53"/>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ht="12.75" customHeight="1">
      <c r="A70" s="50"/>
      <c r="B70" s="50"/>
      <c r="C70" s="51"/>
      <c r="D70" s="45"/>
      <c r="E70" s="50"/>
      <c r="F70" s="50"/>
      <c r="G70" s="51"/>
      <c r="H70" s="45"/>
      <c r="I70" s="52"/>
      <c r="J70" s="45"/>
      <c r="K70" s="45"/>
      <c r="L70" s="45"/>
      <c r="M70" s="52"/>
      <c r="N70" s="45"/>
      <c r="O70" s="45"/>
      <c r="P70" s="45"/>
      <c r="Q70" s="45"/>
      <c r="R70" s="50"/>
      <c r="S70" s="45"/>
      <c r="T70" s="51"/>
      <c r="U70" s="53"/>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ht="12.75" customHeight="1">
      <c r="A71" s="50"/>
      <c r="B71" s="50"/>
      <c r="C71" s="51"/>
      <c r="D71" s="45"/>
      <c r="E71" s="50"/>
      <c r="F71" s="50"/>
      <c r="G71" s="51"/>
      <c r="H71" s="45"/>
      <c r="I71" s="52"/>
      <c r="J71" s="45"/>
      <c r="K71" s="45"/>
      <c r="L71" s="45"/>
      <c r="M71" s="52"/>
      <c r="N71" s="45"/>
      <c r="O71" s="45"/>
      <c r="P71" s="45"/>
      <c r="Q71" s="45"/>
      <c r="R71" s="50"/>
      <c r="S71" s="45"/>
      <c r="T71" s="51"/>
      <c r="U71" s="53"/>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ht="12.75" customHeight="1">
      <c r="A72" s="50"/>
      <c r="B72" s="50"/>
      <c r="C72" s="51"/>
      <c r="D72" s="45"/>
      <c r="E72" s="50"/>
      <c r="F72" s="50"/>
      <c r="G72" s="51"/>
      <c r="H72" s="45"/>
      <c r="I72" s="52"/>
      <c r="J72" s="45"/>
      <c r="K72" s="45"/>
      <c r="L72" s="45"/>
      <c r="M72" s="52"/>
      <c r="N72" s="45"/>
      <c r="O72" s="45"/>
      <c r="P72" s="45"/>
      <c r="Q72" s="45"/>
      <c r="R72" s="50"/>
      <c r="S72" s="45"/>
      <c r="T72" s="51"/>
      <c r="U72" s="53"/>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ht="12.75" customHeight="1">
      <c r="A73" s="50"/>
      <c r="B73" s="50"/>
      <c r="C73" s="51"/>
      <c r="D73" s="45"/>
      <c r="E73" s="50"/>
      <c r="F73" s="50"/>
      <c r="G73" s="51"/>
      <c r="H73" s="45"/>
      <c r="I73" s="52"/>
      <c r="J73" s="45"/>
      <c r="K73" s="45"/>
      <c r="L73" s="45"/>
      <c r="M73" s="52"/>
      <c r="N73" s="45"/>
      <c r="O73" s="45"/>
      <c r="P73" s="45"/>
      <c r="Q73" s="45"/>
      <c r="R73" s="50"/>
      <c r="S73" s="45"/>
      <c r="T73" s="51"/>
      <c r="U73" s="53"/>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ht="12.75" customHeight="1">
      <c r="A74" s="50"/>
      <c r="B74" s="50"/>
      <c r="C74" s="51"/>
      <c r="D74" s="45"/>
      <c r="E74" s="50"/>
      <c r="F74" s="50"/>
      <c r="G74" s="51"/>
      <c r="H74" s="45"/>
      <c r="I74" s="52"/>
      <c r="J74" s="45"/>
      <c r="K74" s="45"/>
      <c r="L74" s="45"/>
      <c r="M74" s="52"/>
      <c r="N74" s="45"/>
      <c r="O74" s="45"/>
      <c r="P74" s="45"/>
      <c r="Q74" s="45"/>
      <c r="R74" s="50"/>
      <c r="S74" s="45"/>
      <c r="T74" s="51"/>
      <c r="U74" s="53"/>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ht="12.75" customHeight="1">
      <c r="A75" s="50"/>
      <c r="B75" s="50"/>
      <c r="C75" s="51"/>
      <c r="D75" s="45"/>
      <c r="E75" s="50"/>
      <c r="F75" s="50"/>
      <c r="G75" s="51"/>
      <c r="H75" s="45"/>
      <c r="I75" s="52"/>
      <c r="J75" s="45"/>
      <c r="K75" s="45"/>
      <c r="L75" s="45"/>
      <c r="M75" s="52"/>
      <c r="N75" s="45"/>
      <c r="O75" s="45"/>
      <c r="P75" s="45"/>
      <c r="Q75" s="45"/>
      <c r="R75" s="50"/>
      <c r="S75" s="45"/>
      <c r="T75" s="51"/>
      <c r="U75" s="53"/>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ht="12.75" customHeight="1">
      <c r="A76" s="50"/>
      <c r="B76" s="50"/>
      <c r="C76" s="51"/>
      <c r="D76" s="45"/>
      <c r="E76" s="50"/>
      <c r="F76" s="50"/>
      <c r="G76" s="51"/>
      <c r="H76" s="45"/>
      <c r="I76" s="52"/>
      <c r="J76" s="45"/>
      <c r="K76" s="45"/>
      <c r="L76" s="45"/>
      <c r="M76" s="52"/>
      <c r="N76" s="45"/>
      <c r="O76" s="45"/>
      <c r="P76" s="45"/>
      <c r="Q76" s="45"/>
      <c r="R76" s="50"/>
      <c r="S76" s="45"/>
      <c r="T76" s="51"/>
      <c r="U76" s="53"/>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ht="12.75" customHeight="1">
      <c r="A77" s="50"/>
      <c r="B77" s="50"/>
      <c r="C77" s="51"/>
      <c r="D77" s="45"/>
      <c r="E77" s="50"/>
      <c r="F77" s="50"/>
      <c r="G77" s="51"/>
      <c r="H77" s="45"/>
      <c r="I77" s="52"/>
      <c r="J77" s="45"/>
      <c r="K77" s="45"/>
      <c r="L77" s="45"/>
      <c r="M77" s="52"/>
      <c r="N77" s="45"/>
      <c r="O77" s="45"/>
      <c r="P77" s="45"/>
      <c r="Q77" s="45"/>
      <c r="R77" s="50"/>
      <c r="S77" s="45"/>
      <c r="T77" s="51"/>
      <c r="U77" s="53"/>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ht="12.75" customHeight="1">
      <c r="A78" s="50"/>
      <c r="B78" s="50"/>
      <c r="C78" s="51"/>
      <c r="D78" s="45"/>
      <c r="E78" s="50"/>
      <c r="F78" s="50"/>
      <c r="G78" s="51"/>
      <c r="H78" s="45"/>
      <c r="I78" s="52"/>
      <c r="J78" s="45"/>
      <c r="K78" s="45"/>
      <c r="L78" s="45"/>
      <c r="M78" s="52"/>
      <c r="N78" s="45"/>
      <c r="O78" s="45"/>
      <c r="P78" s="45"/>
      <c r="Q78" s="45"/>
      <c r="R78" s="50"/>
      <c r="S78" s="45"/>
      <c r="T78" s="51"/>
      <c r="U78" s="53"/>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ht="12.75" customHeight="1">
      <c r="A79" s="50"/>
      <c r="B79" s="50"/>
      <c r="C79" s="51"/>
      <c r="D79" s="45"/>
      <c r="E79" s="50"/>
      <c r="F79" s="50"/>
      <c r="G79" s="51"/>
      <c r="H79" s="45"/>
      <c r="I79" s="52"/>
      <c r="J79" s="45"/>
      <c r="K79" s="45"/>
      <c r="L79" s="45"/>
      <c r="M79" s="52"/>
      <c r="N79" s="45"/>
      <c r="O79" s="45"/>
      <c r="P79" s="45"/>
      <c r="Q79" s="45"/>
      <c r="R79" s="50"/>
      <c r="S79" s="45"/>
      <c r="T79" s="51"/>
      <c r="U79" s="53"/>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ht="12.75" customHeight="1">
      <c r="A80" s="50"/>
      <c r="B80" s="50"/>
      <c r="C80" s="51"/>
      <c r="D80" s="45"/>
      <c r="E80" s="50"/>
      <c r="F80" s="50"/>
      <c r="G80" s="51"/>
      <c r="H80" s="45"/>
      <c r="I80" s="52"/>
      <c r="J80" s="45"/>
      <c r="K80" s="45"/>
      <c r="L80" s="45"/>
      <c r="M80" s="52"/>
      <c r="N80" s="45"/>
      <c r="O80" s="45"/>
      <c r="P80" s="45"/>
      <c r="Q80" s="45"/>
      <c r="R80" s="50"/>
      <c r="S80" s="45"/>
      <c r="T80" s="51"/>
      <c r="U80" s="53"/>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ht="12.75" customHeight="1">
      <c r="A81" s="50"/>
      <c r="B81" s="50"/>
      <c r="C81" s="51"/>
      <c r="D81" s="45"/>
      <c r="E81" s="50"/>
      <c r="F81" s="50"/>
      <c r="G81" s="51"/>
      <c r="H81" s="45"/>
      <c r="I81" s="52"/>
      <c r="J81" s="45"/>
      <c r="K81" s="45"/>
      <c r="L81" s="45"/>
      <c r="M81" s="52"/>
      <c r="N81" s="45"/>
      <c r="O81" s="45"/>
      <c r="P81" s="45"/>
      <c r="Q81" s="45"/>
      <c r="R81" s="50"/>
      <c r="S81" s="45"/>
      <c r="T81" s="51"/>
      <c r="U81" s="53"/>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ht="12.75" customHeight="1">
      <c r="A82" s="50"/>
      <c r="B82" s="50"/>
      <c r="C82" s="51"/>
      <c r="D82" s="45"/>
      <c r="E82" s="50"/>
      <c r="F82" s="50"/>
      <c r="G82" s="51"/>
      <c r="H82" s="45"/>
      <c r="I82" s="52"/>
      <c r="J82" s="45"/>
      <c r="K82" s="45"/>
      <c r="L82" s="45"/>
      <c r="M82" s="52"/>
      <c r="N82" s="45"/>
      <c r="O82" s="45"/>
      <c r="P82" s="45"/>
      <c r="Q82" s="45"/>
      <c r="R82" s="50"/>
      <c r="S82" s="45"/>
      <c r="T82" s="51"/>
      <c r="U82" s="53"/>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ht="12.75" customHeight="1">
      <c r="A83" s="50"/>
      <c r="B83" s="50"/>
      <c r="C83" s="51"/>
      <c r="D83" s="45"/>
      <c r="E83" s="50"/>
      <c r="F83" s="50"/>
      <c r="G83" s="51"/>
      <c r="H83" s="45"/>
      <c r="I83" s="52"/>
      <c r="J83" s="45"/>
      <c r="K83" s="45"/>
      <c r="L83" s="45"/>
      <c r="M83" s="52"/>
      <c r="N83" s="45"/>
      <c r="O83" s="45"/>
      <c r="P83" s="45"/>
      <c r="Q83" s="45"/>
      <c r="R83" s="50"/>
      <c r="S83" s="45"/>
      <c r="T83" s="51"/>
      <c r="U83" s="53"/>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ht="12.75" customHeight="1">
      <c r="A84" s="50"/>
      <c r="B84" s="50"/>
      <c r="C84" s="51"/>
      <c r="D84" s="45"/>
      <c r="E84" s="50"/>
      <c r="F84" s="50"/>
      <c r="G84" s="51"/>
      <c r="H84" s="45"/>
      <c r="I84" s="52"/>
      <c r="J84" s="45"/>
      <c r="K84" s="45"/>
      <c r="L84" s="45"/>
      <c r="M84" s="52"/>
      <c r="N84" s="45"/>
      <c r="O84" s="45"/>
      <c r="P84" s="45"/>
      <c r="Q84" s="45"/>
      <c r="R84" s="50"/>
      <c r="S84" s="45"/>
      <c r="T84" s="51"/>
      <c r="U84" s="53"/>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ht="12.75" customHeight="1">
      <c r="A85" s="50"/>
      <c r="B85" s="50"/>
      <c r="C85" s="51"/>
      <c r="D85" s="45"/>
      <c r="E85" s="50"/>
      <c r="F85" s="50"/>
      <c r="G85" s="51"/>
      <c r="H85" s="45"/>
      <c r="I85" s="52"/>
      <c r="J85" s="45"/>
      <c r="K85" s="45"/>
      <c r="L85" s="45"/>
      <c r="M85" s="52"/>
      <c r="N85" s="45"/>
      <c r="O85" s="45"/>
      <c r="P85" s="45"/>
      <c r="Q85" s="45"/>
      <c r="R85" s="50"/>
      <c r="S85" s="45"/>
      <c r="T85" s="51"/>
      <c r="U85" s="53"/>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ht="12.75" customHeight="1">
      <c r="A86" s="50"/>
      <c r="B86" s="50"/>
      <c r="C86" s="51"/>
      <c r="D86" s="45"/>
      <c r="E86" s="50"/>
      <c r="F86" s="50"/>
      <c r="G86" s="51"/>
      <c r="H86" s="45"/>
      <c r="I86" s="52"/>
      <c r="J86" s="45"/>
      <c r="K86" s="45"/>
      <c r="L86" s="45"/>
      <c r="M86" s="52"/>
      <c r="N86" s="45"/>
      <c r="O86" s="45"/>
      <c r="P86" s="45"/>
      <c r="Q86" s="45"/>
      <c r="R86" s="50"/>
      <c r="S86" s="45"/>
      <c r="T86" s="51"/>
      <c r="U86" s="53"/>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ht="12.75" customHeight="1">
      <c r="A87" s="50"/>
      <c r="B87" s="50"/>
      <c r="C87" s="51"/>
      <c r="D87" s="45"/>
      <c r="E87" s="50"/>
      <c r="F87" s="50"/>
      <c r="G87" s="51"/>
      <c r="H87" s="45"/>
      <c r="I87" s="52"/>
      <c r="J87" s="45"/>
      <c r="K87" s="45"/>
      <c r="L87" s="45"/>
      <c r="M87" s="52"/>
      <c r="N87" s="45"/>
      <c r="O87" s="45"/>
      <c r="P87" s="45"/>
      <c r="Q87" s="45"/>
      <c r="R87" s="50"/>
      <c r="S87" s="45"/>
      <c r="T87" s="51"/>
      <c r="U87" s="53"/>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ht="12.75" customHeight="1">
      <c r="A88" s="50"/>
      <c r="B88" s="50"/>
      <c r="C88" s="51"/>
      <c r="D88" s="45"/>
      <c r="E88" s="50"/>
      <c r="F88" s="50"/>
      <c r="G88" s="51"/>
      <c r="H88" s="45"/>
      <c r="I88" s="52"/>
      <c r="J88" s="45"/>
      <c r="K88" s="45"/>
      <c r="L88" s="45"/>
      <c r="M88" s="52"/>
      <c r="N88" s="45"/>
      <c r="O88" s="45"/>
      <c r="P88" s="45"/>
      <c r="Q88" s="45"/>
      <c r="R88" s="50"/>
      <c r="S88" s="45"/>
      <c r="T88" s="51"/>
      <c r="U88" s="53"/>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ht="12.75" customHeight="1">
      <c r="A89" s="50"/>
      <c r="B89" s="50"/>
      <c r="C89" s="51"/>
      <c r="D89" s="45"/>
      <c r="E89" s="50"/>
      <c r="F89" s="50"/>
      <c r="G89" s="51"/>
      <c r="H89" s="45"/>
      <c r="I89" s="52"/>
      <c r="J89" s="45"/>
      <c r="K89" s="45"/>
      <c r="L89" s="45"/>
      <c r="M89" s="52"/>
      <c r="N89" s="45"/>
      <c r="O89" s="45"/>
      <c r="P89" s="45"/>
      <c r="Q89" s="45"/>
      <c r="R89" s="50"/>
      <c r="S89" s="45"/>
      <c r="T89" s="51"/>
      <c r="U89" s="53"/>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ht="12.75" customHeight="1">
      <c r="A90" s="50"/>
      <c r="B90" s="50"/>
      <c r="C90" s="51"/>
      <c r="D90" s="45"/>
      <c r="E90" s="50"/>
      <c r="F90" s="50"/>
      <c r="G90" s="51"/>
      <c r="H90" s="45"/>
      <c r="I90" s="52"/>
      <c r="J90" s="45"/>
      <c r="K90" s="45"/>
      <c r="L90" s="45"/>
      <c r="M90" s="52"/>
      <c r="N90" s="45"/>
      <c r="O90" s="45"/>
      <c r="P90" s="45"/>
      <c r="Q90" s="45"/>
      <c r="R90" s="50"/>
      <c r="S90" s="45"/>
      <c r="T90" s="51"/>
      <c r="U90" s="53"/>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ht="12.75" customHeight="1">
      <c r="A91" s="50"/>
      <c r="B91" s="50"/>
      <c r="C91" s="51"/>
      <c r="D91" s="45"/>
      <c r="E91" s="50"/>
      <c r="F91" s="50"/>
      <c r="G91" s="51"/>
      <c r="H91" s="45"/>
      <c r="I91" s="52"/>
      <c r="J91" s="45"/>
      <c r="K91" s="45"/>
      <c r="L91" s="45"/>
      <c r="M91" s="52"/>
      <c r="N91" s="45"/>
      <c r="O91" s="45"/>
      <c r="P91" s="45"/>
      <c r="Q91" s="45"/>
      <c r="R91" s="50"/>
      <c r="S91" s="45"/>
      <c r="T91" s="51"/>
      <c r="U91" s="53"/>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ht="12.75" customHeight="1">
      <c r="A92" s="50"/>
      <c r="B92" s="50"/>
      <c r="C92" s="51"/>
      <c r="D92" s="45"/>
      <c r="E92" s="50"/>
      <c r="F92" s="50"/>
      <c r="G92" s="51"/>
      <c r="H92" s="45"/>
      <c r="I92" s="52"/>
      <c r="J92" s="45"/>
      <c r="K92" s="45"/>
      <c r="L92" s="45"/>
      <c r="M92" s="52"/>
      <c r="N92" s="45"/>
      <c r="O92" s="45"/>
      <c r="P92" s="45"/>
      <c r="Q92" s="45"/>
      <c r="R92" s="50"/>
      <c r="S92" s="45"/>
      <c r="T92" s="51"/>
      <c r="U92" s="53"/>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ht="12.75" customHeight="1">
      <c r="A93" s="50"/>
      <c r="B93" s="50"/>
      <c r="C93" s="51"/>
      <c r="D93" s="45"/>
      <c r="E93" s="50"/>
      <c r="F93" s="50"/>
      <c r="G93" s="51"/>
      <c r="H93" s="45"/>
      <c r="I93" s="52"/>
      <c r="J93" s="45"/>
      <c r="K93" s="45"/>
      <c r="L93" s="45"/>
      <c r="M93" s="52"/>
      <c r="N93" s="45"/>
      <c r="O93" s="45"/>
      <c r="P93" s="45"/>
      <c r="Q93" s="45"/>
      <c r="R93" s="50"/>
      <c r="S93" s="45"/>
      <c r="T93" s="51"/>
      <c r="U93" s="53"/>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ht="12.75" customHeight="1">
      <c r="A94" s="50"/>
      <c r="B94" s="50"/>
      <c r="C94" s="51"/>
      <c r="D94" s="45"/>
      <c r="E94" s="50"/>
      <c r="F94" s="50"/>
      <c r="G94" s="51"/>
      <c r="H94" s="45"/>
      <c r="I94" s="52"/>
      <c r="J94" s="45"/>
      <c r="K94" s="45"/>
      <c r="L94" s="45"/>
      <c r="M94" s="52"/>
      <c r="N94" s="45"/>
      <c r="O94" s="45"/>
      <c r="P94" s="45"/>
      <c r="Q94" s="45"/>
      <c r="R94" s="50"/>
      <c r="S94" s="45"/>
      <c r="T94" s="51"/>
      <c r="U94" s="53"/>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ht="12.75" customHeight="1">
      <c r="A95" s="50"/>
      <c r="B95" s="50"/>
      <c r="C95" s="51"/>
      <c r="D95" s="45"/>
      <c r="E95" s="50"/>
      <c r="F95" s="50"/>
      <c r="G95" s="51"/>
      <c r="H95" s="45"/>
      <c r="I95" s="52"/>
      <c r="J95" s="45"/>
      <c r="K95" s="45"/>
      <c r="L95" s="45"/>
      <c r="M95" s="52"/>
      <c r="N95" s="45"/>
      <c r="O95" s="45"/>
      <c r="P95" s="45"/>
      <c r="Q95" s="45"/>
      <c r="R95" s="50"/>
      <c r="S95" s="45"/>
      <c r="T95" s="51"/>
      <c r="U95" s="53"/>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ht="12.75" customHeight="1">
      <c r="A96" s="50"/>
      <c r="B96" s="50"/>
      <c r="C96" s="51"/>
      <c r="D96" s="45"/>
      <c r="E96" s="50"/>
      <c r="F96" s="50"/>
      <c r="G96" s="51"/>
      <c r="H96" s="45"/>
      <c r="I96" s="52"/>
      <c r="J96" s="45"/>
      <c r="K96" s="45"/>
      <c r="L96" s="45"/>
      <c r="M96" s="52"/>
      <c r="N96" s="45"/>
      <c r="O96" s="45"/>
      <c r="P96" s="45"/>
      <c r="Q96" s="45"/>
      <c r="R96" s="50"/>
      <c r="S96" s="45"/>
      <c r="T96" s="51"/>
      <c r="U96" s="53"/>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ht="12.75" customHeight="1">
      <c r="A97" s="50"/>
      <c r="B97" s="50"/>
      <c r="C97" s="51"/>
      <c r="D97" s="45"/>
      <c r="E97" s="50"/>
      <c r="F97" s="50"/>
      <c r="G97" s="51"/>
      <c r="H97" s="45"/>
      <c r="I97" s="52"/>
      <c r="J97" s="45"/>
      <c r="K97" s="45"/>
      <c r="L97" s="45"/>
      <c r="M97" s="52"/>
      <c r="N97" s="45"/>
      <c r="O97" s="45"/>
      <c r="P97" s="45"/>
      <c r="Q97" s="45"/>
      <c r="R97" s="50"/>
      <c r="S97" s="45"/>
      <c r="T97" s="51"/>
      <c r="U97" s="53"/>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ht="12.75" customHeight="1">
      <c r="A98" s="50"/>
      <c r="B98" s="50"/>
      <c r="C98" s="51"/>
      <c r="D98" s="45"/>
      <c r="E98" s="50"/>
      <c r="F98" s="50"/>
      <c r="G98" s="51"/>
      <c r="H98" s="45"/>
      <c r="I98" s="52"/>
      <c r="J98" s="45"/>
      <c r="K98" s="45"/>
      <c r="L98" s="45"/>
      <c r="M98" s="52"/>
      <c r="N98" s="45"/>
      <c r="O98" s="45"/>
      <c r="P98" s="45"/>
      <c r="Q98" s="45"/>
      <c r="R98" s="50"/>
      <c r="S98" s="45"/>
      <c r="T98" s="51"/>
      <c r="U98" s="53"/>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ht="12.75" customHeight="1">
      <c r="A99" s="50"/>
      <c r="B99" s="50"/>
      <c r="C99" s="51"/>
      <c r="D99" s="45"/>
      <c r="E99" s="50"/>
      <c r="F99" s="50"/>
      <c r="G99" s="51"/>
      <c r="H99" s="45"/>
      <c r="I99" s="52"/>
      <c r="J99" s="45"/>
      <c r="K99" s="45"/>
      <c r="L99" s="45"/>
      <c r="M99" s="52"/>
      <c r="N99" s="45"/>
      <c r="O99" s="45"/>
      <c r="P99" s="45"/>
      <c r="Q99" s="45"/>
      <c r="R99" s="50"/>
      <c r="S99" s="45"/>
      <c r="T99" s="51"/>
      <c r="U99" s="53"/>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ht="12.75" customHeight="1">
      <c r="A100" s="50"/>
      <c r="B100" s="50"/>
      <c r="C100" s="51"/>
      <c r="D100" s="45"/>
      <c r="E100" s="50"/>
      <c r="F100" s="50"/>
      <c r="G100" s="51"/>
      <c r="H100" s="45"/>
      <c r="I100" s="52"/>
      <c r="J100" s="45"/>
      <c r="K100" s="45"/>
      <c r="L100" s="45"/>
      <c r="M100" s="52"/>
      <c r="N100" s="45"/>
      <c r="O100" s="45"/>
      <c r="P100" s="45"/>
      <c r="Q100" s="45"/>
      <c r="R100" s="50"/>
      <c r="S100" s="45"/>
      <c r="T100" s="51"/>
      <c r="U100" s="53"/>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ht="12.75" customHeight="1">
      <c r="A101" s="50"/>
      <c r="B101" s="50"/>
      <c r="C101" s="51"/>
      <c r="D101" s="45"/>
      <c r="E101" s="50"/>
      <c r="F101" s="50"/>
      <c r="G101" s="51"/>
      <c r="H101" s="45"/>
      <c r="I101" s="52"/>
      <c r="J101" s="45"/>
      <c r="K101" s="45"/>
      <c r="L101" s="45"/>
      <c r="M101" s="52"/>
      <c r="N101" s="45"/>
      <c r="O101" s="45"/>
      <c r="P101" s="45"/>
      <c r="Q101" s="45"/>
      <c r="R101" s="50"/>
      <c r="S101" s="45"/>
      <c r="T101" s="51"/>
      <c r="U101" s="53"/>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ht="12.75" customHeight="1">
      <c r="A102" s="50"/>
      <c r="B102" s="50"/>
      <c r="C102" s="51"/>
      <c r="D102" s="45"/>
      <c r="E102" s="50"/>
      <c r="F102" s="50"/>
      <c r="G102" s="51"/>
      <c r="H102" s="45"/>
      <c r="I102" s="52"/>
      <c r="J102" s="45"/>
      <c r="K102" s="45"/>
      <c r="L102" s="45"/>
      <c r="M102" s="52"/>
      <c r="N102" s="45"/>
      <c r="O102" s="45"/>
      <c r="P102" s="45"/>
      <c r="Q102" s="45"/>
      <c r="R102" s="50"/>
      <c r="S102" s="45"/>
      <c r="T102" s="51"/>
      <c r="U102" s="53"/>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ht="12.75" customHeight="1">
      <c r="A103" s="50"/>
      <c r="B103" s="50"/>
      <c r="C103" s="51"/>
      <c r="D103" s="45"/>
      <c r="E103" s="50"/>
      <c r="F103" s="50"/>
      <c r="G103" s="51"/>
      <c r="H103" s="45"/>
      <c r="I103" s="52"/>
      <c r="J103" s="45"/>
      <c r="K103" s="45"/>
      <c r="L103" s="45"/>
      <c r="M103" s="52"/>
      <c r="N103" s="45"/>
      <c r="O103" s="45"/>
      <c r="P103" s="45"/>
      <c r="Q103" s="45"/>
      <c r="R103" s="50"/>
      <c r="S103" s="45"/>
      <c r="T103" s="51"/>
      <c r="U103" s="53"/>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ht="12.75" customHeight="1">
      <c r="A104" s="50"/>
      <c r="B104" s="50"/>
      <c r="C104" s="51"/>
      <c r="D104" s="45"/>
      <c r="E104" s="50"/>
      <c r="F104" s="50"/>
      <c r="G104" s="51"/>
      <c r="H104" s="45"/>
      <c r="I104" s="52"/>
      <c r="J104" s="45"/>
      <c r="K104" s="45"/>
      <c r="L104" s="45"/>
      <c r="M104" s="52"/>
      <c r="N104" s="45"/>
      <c r="O104" s="45"/>
      <c r="P104" s="45"/>
      <c r="Q104" s="45"/>
      <c r="R104" s="50"/>
      <c r="S104" s="45"/>
      <c r="T104" s="51"/>
      <c r="U104" s="53"/>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ht="12.75" customHeight="1">
      <c r="A105" s="50"/>
      <c r="B105" s="50"/>
      <c r="C105" s="51"/>
      <c r="D105" s="45"/>
      <c r="E105" s="50"/>
      <c r="F105" s="50"/>
      <c r="G105" s="51"/>
      <c r="H105" s="45"/>
      <c r="I105" s="52"/>
      <c r="J105" s="45"/>
      <c r="K105" s="45"/>
      <c r="L105" s="45"/>
      <c r="M105" s="52"/>
      <c r="N105" s="45"/>
      <c r="O105" s="45"/>
      <c r="P105" s="45"/>
      <c r="Q105" s="45"/>
      <c r="R105" s="50"/>
      <c r="S105" s="45"/>
      <c r="T105" s="51"/>
      <c r="U105" s="53"/>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ht="12.75" customHeight="1">
      <c r="A106" s="50"/>
      <c r="B106" s="50"/>
      <c r="C106" s="51"/>
      <c r="D106" s="45"/>
      <c r="E106" s="50"/>
      <c r="F106" s="50"/>
      <c r="G106" s="51"/>
      <c r="H106" s="45"/>
      <c r="I106" s="52"/>
      <c r="J106" s="45"/>
      <c r="K106" s="45"/>
      <c r="L106" s="45"/>
      <c r="M106" s="52"/>
      <c r="N106" s="45"/>
      <c r="O106" s="45"/>
      <c r="P106" s="45"/>
      <c r="Q106" s="45"/>
      <c r="R106" s="50"/>
      <c r="S106" s="45"/>
      <c r="T106" s="51"/>
      <c r="U106" s="53"/>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ht="12.75" customHeight="1">
      <c r="A107" s="50"/>
      <c r="B107" s="50"/>
      <c r="C107" s="51"/>
      <c r="D107" s="45"/>
      <c r="E107" s="50"/>
      <c r="F107" s="50"/>
      <c r="G107" s="51"/>
      <c r="H107" s="45"/>
      <c r="I107" s="52"/>
      <c r="J107" s="45"/>
      <c r="K107" s="45"/>
      <c r="L107" s="45"/>
      <c r="M107" s="52"/>
      <c r="N107" s="45"/>
      <c r="O107" s="45"/>
      <c r="P107" s="45"/>
      <c r="Q107" s="45"/>
      <c r="R107" s="50"/>
      <c r="S107" s="45"/>
      <c r="T107" s="51"/>
      <c r="U107" s="53"/>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ht="12.75" customHeight="1">
      <c r="A108" s="50"/>
      <c r="B108" s="50"/>
      <c r="C108" s="51"/>
      <c r="D108" s="45"/>
      <c r="E108" s="50"/>
      <c r="F108" s="50"/>
      <c r="G108" s="51"/>
      <c r="H108" s="45"/>
      <c r="I108" s="52"/>
      <c r="J108" s="45"/>
      <c r="K108" s="45"/>
      <c r="L108" s="45"/>
      <c r="M108" s="52"/>
      <c r="N108" s="45"/>
      <c r="O108" s="45"/>
      <c r="P108" s="45"/>
      <c r="Q108" s="45"/>
      <c r="R108" s="50"/>
      <c r="S108" s="45"/>
      <c r="T108" s="51"/>
      <c r="U108" s="53"/>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ht="12.75" customHeight="1">
      <c r="A109" s="50"/>
      <c r="B109" s="50"/>
      <c r="C109" s="51"/>
      <c r="D109" s="45"/>
      <c r="E109" s="50"/>
      <c r="F109" s="50"/>
      <c r="G109" s="51"/>
      <c r="H109" s="45"/>
      <c r="I109" s="52"/>
      <c r="J109" s="45"/>
      <c r="K109" s="45"/>
      <c r="L109" s="45"/>
      <c r="M109" s="52"/>
      <c r="N109" s="45"/>
      <c r="O109" s="45"/>
      <c r="P109" s="45"/>
      <c r="Q109" s="45"/>
      <c r="R109" s="50"/>
      <c r="S109" s="45"/>
      <c r="T109" s="51"/>
      <c r="U109" s="53"/>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ht="12.75" customHeight="1">
      <c r="A110" s="50"/>
      <c r="B110" s="50"/>
      <c r="C110" s="51"/>
      <c r="D110" s="45"/>
      <c r="E110" s="50"/>
      <c r="F110" s="50"/>
      <c r="G110" s="51"/>
      <c r="H110" s="45"/>
      <c r="I110" s="52"/>
      <c r="J110" s="45"/>
      <c r="K110" s="45"/>
      <c r="L110" s="45"/>
      <c r="M110" s="52"/>
      <c r="N110" s="45"/>
      <c r="O110" s="45"/>
      <c r="P110" s="45"/>
      <c r="Q110" s="45"/>
      <c r="R110" s="50"/>
      <c r="S110" s="45"/>
      <c r="T110" s="51"/>
      <c r="U110" s="53"/>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ht="12.75" customHeight="1">
      <c r="A111" s="50"/>
      <c r="B111" s="50"/>
      <c r="C111" s="51"/>
      <c r="D111" s="45"/>
      <c r="E111" s="50"/>
      <c r="F111" s="50"/>
      <c r="G111" s="51"/>
      <c r="H111" s="45"/>
      <c r="I111" s="52"/>
      <c r="J111" s="45"/>
      <c r="K111" s="45"/>
      <c r="L111" s="45"/>
      <c r="M111" s="52"/>
      <c r="N111" s="45"/>
      <c r="O111" s="45"/>
      <c r="P111" s="45"/>
      <c r="Q111" s="45"/>
      <c r="R111" s="50"/>
      <c r="S111" s="45"/>
      <c r="T111" s="51"/>
      <c r="U111" s="53"/>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ht="12.75" customHeight="1">
      <c r="A112" s="50"/>
      <c r="B112" s="50"/>
      <c r="C112" s="51"/>
      <c r="D112" s="45"/>
      <c r="E112" s="50"/>
      <c r="F112" s="50"/>
      <c r="G112" s="51"/>
      <c r="H112" s="45"/>
      <c r="I112" s="52"/>
      <c r="J112" s="45"/>
      <c r="K112" s="45"/>
      <c r="L112" s="45"/>
      <c r="M112" s="52"/>
      <c r="N112" s="45"/>
      <c r="O112" s="45"/>
      <c r="P112" s="45"/>
      <c r="Q112" s="45"/>
      <c r="R112" s="50"/>
      <c r="S112" s="45"/>
      <c r="T112" s="51"/>
      <c r="U112" s="53"/>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ht="12.75" customHeight="1">
      <c r="A113" s="50"/>
      <c r="B113" s="50"/>
      <c r="C113" s="51"/>
      <c r="D113" s="45"/>
      <c r="E113" s="50"/>
      <c r="F113" s="50"/>
      <c r="G113" s="51"/>
      <c r="H113" s="45"/>
      <c r="I113" s="52"/>
      <c r="J113" s="45"/>
      <c r="K113" s="45"/>
      <c r="L113" s="45"/>
      <c r="M113" s="52"/>
      <c r="N113" s="45"/>
      <c r="O113" s="45"/>
      <c r="P113" s="45"/>
      <c r="Q113" s="45"/>
      <c r="R113" s="50"/>
      <c r="S113" s="45"/>
      <c r="T113" s="51"/>
      <c r="U113" s="53"/>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ht="12.75" customHeight="1">
      <c r="A114" s="50"/>
      <c r="B114" s="50"/>
      <c r="C114" s="51"/>
      <c r="D114" s="45"/>
      <c r="E114" s="50"/>
      <c r="F114" s="50"/>
      <c r="G114" s="51"/>
      <c r="H114" s="45"/>
      <c r="I114" s="52"/>
      <c r="J114" s="45"/>
      <c r="K114" s="45"/>
      <c r="L114" s="45"/>
      <c r="M114" s="52"/>
      <c r="N114" s="45"/>
      <c r="O114" s="45"/>
      <c r="P114" s="45"/>
      <c r="Q114" s="45"/>
      <c r="R114" s="50"/>
      <c r="S114" s="45"/>
      <c r="T114" s="51"/>
      <c r="U114" s="53"/>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ht="12.75" customHeight="1">
      <c r="A115" s="50"/>
      <c r="B115" s="50"/>
      <c r="C115" s="51"/>
      <c r="D115" s="45"/>
      <c r="E115" s="50"/>
      <c r="F115" s="50"/>
      <c r="G115" s="51"/>
      <c r="H115" s="45"/>
      <c r="I115" s="52"/>
      <c r="J115" s="45"/>
      <c r="K115" s="45"/>
      <c r="L115" s="45"/>
      <c r="M115" s="52"/>
      <c r="N115" s="45"/>
      <c r="O115" s="45"/>
      <c r="P115" s="45"/>
      <c r="Q115" s="45"/>
      <c r="R115" s="50"/>
      <c r="S115" s="45"/>
      <c r="T115" s="51"/>
      <c r="U115" s="53"/>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ht="12.75" customHeight="1">
      <c r="A116" s="50"/>
      <c r="B116" s="50"/>
      <c r="C116" s="51"/>
      <c r="D116" s="45"/>
      <c r="E116" s="50"/>
      <c r="F116" s="50"/>
      <c r="G116" s="51"/>
      <c r="H116" s="45"/>
      <c r="I116" s="52"/>
      <c r="J116" s="45"/>
      <c r="K116" s="45"/>
      <c r="L116" s="45"/>
      <c r="M116" s="52"/>
      <c r="N116" s="45"/>
      <c r="O116" s="45"/>
      <c r="P116" s="45"/>
      <c r="Q116" s="45"/>
      <c r="R116" s="50"/>
      <c r="S116" s="45"/>
      <c r="T116" s="51"/>
      <c r="U116" s="53"/>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ht="12.75" customHeight="1">
      <c r="A117" s="50"/>
      <c r="B117" s="50"/>
      <c r="C117" s="51"/>
      <c r="D117" s="45"/>
      <c r="E117" s="50"/>
      <c r="F117" s="50"/>
      <c r="G117" s="51"/>
      <c r="H117" s="45"/>
      <c r="I117" s="52"/>
      <c r="J117" s="45"/>
      <c r="K117" s="45"/>
      <c r="L117" s="45"/>
      <c r="M117" s="52"/>
      <c r="N117" s="45"/>
      <c r="O117" s="45"/>
      <c r="P117" s="45"/>
      <c r="Q117" s="45"/>
      <c r="R117" s="50"/>
      <c r="S117" s="45"/>
      <c r="T117" s="51"/>
      <c r="U117" s="53"/>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ht="12.75" customHeight="1">
      <c r="A118" s="50"/>
      <c r="B118" s="50"/>
      <c r="C118" s="51"/>
      <c r="D118" s="45"/>
      <c r="E118" s="50"/>
      <c r="F118" s="50"/>
      <c r="G118" s="51"/>
      <c r="H118" s="45"/>
      <c r="I118" s="52"/>
      <c r="J118" s="45"/>
      <c r="K118" s="45"/>
      <c r="L118" s="45"/>
      <c r="M118" s="52"/>
      <c r="N118" s="45"/>
      <c r="O118" s="45"/>
      <c r="P118" s="45"/>
      <c r="Q118" s="45"/>
      <c r="R118" s="50"/>
      <c r="S118" s="45"/>
      <c r="T118" s="51"/>
      <c r="U118" s="53"/>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ht="12.75" customHeight="1">
      <c r="A119" s="50"/>
      <c r="B119" s="50"/>
      <c r="C119" s="51"/>
      <c r="D119" s="45"/>
      <c r="E119" s="50"/>
      <c r="F119" s="50"/>
      <c r="G119" s="51"/>
      <c r="H119" s="45"/>
      <c r="I119" s="52"/>
      <c r="J119" s="45"/>
      <c r="K119" s="45"/>
      <c r="L119" s="45"/>
      <c r="M119" s="52"/>
      <c r="N119" s="45"/>
      <c r="O119" s="45"/>
      <c r="P119" s="45"/>
      <c r="Q119" s="45"/>
      <c r="R119" s="50"/>
      <c r="S119" s="45"/>
      <c r="T119" s="51"/>
      <c r="U119" s="53"/>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ht="12.75" customHeight="1">
      <c r="A120" s="50"/>
      <c r="B120" s="50"/>
      <c r="C120" s="51"/>
      <c r="D120" s="45"/>
      <c r="E120" s="50"/>
      <c r="F120" s="50"/>
      <c r="G120" s="51"/>
      <c r="H120" s="45"/>
      <c r="I120" s="52"/>
      <c r="J120" s="45"/>
      <c r="K120" s="45"/>
      <c r="L120" s="45"/>
      <c r="M120" s="52"/>
      <c r="N120" s="45"/>
      <c r="O120" s="45"/>
      <c r="P120" s="45"/>
      <c r="Q120" s="45"/>
      <c r="R120" s="50"/>
      <c r="S120" s="45"/>
      <c r="T120" s="51"/>
      <c r="U120" s="53"/>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ht="12.75" customHeight="1">
      <c r="A121" s="50"/>
      <c r="B121" s="50"/>
      <c r="C121" s="51"/>
      <c r="D121" s="45"/>
      <c r="E121" s="50"/>
      <c r="F121" s="50"/>
      <c r="G121" s="51"/>
      <c r="H121" s="45"/>
      <c r="I121" s="52"/>
      <c r="J121" s="45"/>
      <c r="K121" s="45"/>
      <c r="L121" s="45"/>
      <c r="M121" s="52"/>
      <c r="N121" s="45"/>
      <c r="O121" s="45"/>
      <c r="P121" s="45"/>
      <c r="Q121" s="45"/>
      <c r="R121" s="50"/>
      <c r="S121" s="45"/>
      <c r="T121" s="51"/>
      <c r="U121" s="53"/>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ht="12.75" customHeight="1">
      <c r="A122" s="50"/>
      <c r="B122" s="50"/>
      <c r="C122" s="51"/>
      <c r="D122" s="45"/>
      <c r="E122" s="50"/>
      <c r="F122" s="50"/>
      <c r="G122" s="51"/>
      <c r="H122" s="45"/>
      <c r="I122" s="52"/>
      <c r="J122" s="45"/>
      <c r="K122" s="45"/>
      <c r="L122" s="45"/>
      <c r="M122" s="52"/>
      <c r="N122" s="45"/>
      <c r="O122" s="45"/>
      <c r="P122" s="45"/>
      <c r="Q122" s="45"/>
      <c r="R122" s="50"/>
      <c r="S122" s="45"/>
      <c r="T122" s="51"/>
      <c r="U122" s="53"/>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ht="12.75" customHeight="1">
      <c r="A123" s="50"/>
      <c r="B123" s="50"/>
      <c r="C123" s="51"/>
      <c r="D123" s="45"/>
      <c r="E123" s="50"/>
      <c r="F123" s="50"/>
      <c r="G123" s="51"/>
      <c r="H123" s="45"/>
      <c r="I123" s="52"/>
      <c r="J123" s="45"/>
      <c r="K123" s="45"/>
      <c r="L123" s="45"/>
      <c r="M123" s="52"/>
      <c r="N123" s="45"/>
      <c r="O123" s="45"/>
      <c r="P123" s="45"/>
      <c r="Q123" s="45"/>
      <c r="R123" s="50"/>
      <c r="S123" s="45"/>
      <c r="T123" s="51"/>
      <c r="U123" s="53"/>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ht="12.75" customHeight="1">
      <c r="A124" s="50"/>
      <c r="B124" s="50"/>
      <c r="C124" s="51"/>
      <c r="D124" s="45"/>
      <c r="E124" s="50"/>
      <c r="F124" s="50"/>
      <c r="G124" s="51"/>
      <c r="H124" s="45"/>
      <c r="I124" s="52"/>
      <c r="J124" s="45"/>
      <c r="K124" s="45"/>
      <c r="L124" s="45"/>
      <c r="M124" s="52"/>
      <c r="N124" s="45"/>
      <c r="O124" s="45"/>
      <c r="P124" s="45"/>
      <c r="Q124" s="45"/>
      <c r="R124" s="50"/>
      <c r="S124" s="45"/>
      <c r="T124" s="51"/>
      <c r="U124" s="53"/>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ht="12.75" customHeight="1">
      <c r="A125" s="50"/>
      <c r="B125" s="50"/>
      <c r="C125" s="51"/>
      <c r="D125" s="45"/>
      <c r="E125" s="50"/>
      <c r="F125" s="50"/>
      <c r="G125" s="51"/>
      <c r="H125" s="45"/>
      <c r="I125" s="52"/>
      <c r="J125" s="45"/>
      <c r="K125" s="45"/>
      <c r="L125" s="45"/>
      <c r="M125" s="52"/>
      <c r="N125" s="45"/>
      <c r="O125" s="45"/>
      <c r="P125" s="45"/>
      <c r="Q125" s="45"/>
      <c r="R125" s="50"/>
      <c r="S125" s="45"/>
      <c r="T125" s="51"/>
      <c r="U125" s="53"/>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ht="12.75" customHeight="1">
      <c r="A126" s="50"/>
      <c r="B126" s="50"/>
      <c r="C126" s="51"/>
      <c r="D126" s="45"/>
      <c r="E126" s="50"/>
      <c r="F126" s="50"/>
      <c r="G126" s="51"/>
      <c r="H126" s="45"/>
      <c r="I126" s="52"/>
      <c r="J126" s="45"/>
      <c r="K126" s="45"/>
      <c r="L126" s="45"/>
      <c r="M126" s="52"/>
      <c r="N126" s="45"/>
      <c r="O126" s="45"/>
      <c r="P126" s="45"/>
      <c r="Q126" s="45"/>
      <c r="R126" s="50"/>
      <c r="S126" s="45"/>
      <c r="T126" s="51"/>
      <c r="U126" s="53"/>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ht="12.75" customHeight="1">
      <c r="A127" s="50"/>
      <c r="B127" s="50"/>
      <c r="C127" s="51"/>
      <c r="D127" s="45"/>
      <c r="E127" s="50"/>
      <c r="F127" s="50"/>
      <c r="G127" s="51"/>
      <c r="H127" s="45"/>
      <c r="I127" s="52"/>
      <c r="J127" s="45"/>
      <c r="K127" s="45"/>
      <c r="L127" s="45"/>
      <c r="M127" s="52"/>
      <c r="N127" s="45"/>
      <c r="O127" s="45"/>
      <c r="P127" s="45"/>
      <c r="Q127" s="45"/>
      <c r="R127" s="50"/>
      <c r="S127" s="45"/>
      <c r="T127" s="51"/>
      <c r="U127" s="53"/>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ht="12.75" customHeight="1">
      <c r="A128" s="50"/>
      <c r="B128" s="50"/>
      <c r="C128" s="51"/>
      <c r="D128" s="45"/>
      <c r="E128" s="50"/>
      <c r="F128" s="50"/>
      <c r="G128" s="51"/>
      <c r="H128" s="45"/>
      <c r="I128" s="52"/>
      <c r="J128" s="45"/>
      <c r="K128" s="45"/>
      <c r="L128" s="45"/>
      <c r="M128" s="52"/>
      <c r="N128" s="45"/>
      <c r="O128" s="45"/>
      <c r="P128" s="45"/>
      <c r="Q128" s="45"/>
      <c r="R128" s="50"/>
      <c r="S128" s="45"/>
      <c r="T128" s="51"/>
      <c r="U128" s="53"/>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ht="12.75" customHeight="1">
      <c r="A129" s="50"/>
      <c r="B129" s="50"/>
      <c r="C129" s="51"/>
      <c r="D129" s="45"/>
      <c r="E129" s="50"/>
      <c r="F129" s="50"/>
      <c r="G129" s="51"/>
      <c r="H129" s="45"/>
      <c r="I129" s="52"/>
      <c r="J129" s="45"/>
      <c r="K129" s="45"/>
      <c r="L129" s="45"/>
      <c r="M129" s="52"/>
      <c r="N129" s="45"/>
      <c r="O129" s="45"/>
      <c r="P129" s="45"/>
      <c r="Q129" s="45"/>
      <c r="R129" s="50"/>
      <c r="S129" s="45"/>
      <c r="T129" s="51"/>
      <c r="U129" s="53"/>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ht="12.75" customHeight="1">
      <c r="A130" s="50"/>
      <c r="B130" s="50"/>
      <c r="C130" s="51"/>
      <c r="D130" s="45"/>
      <c r="E130" s="50"/>
      <c r="F130" s="50"/>
      <c r="G130" s="51"/>
      <c r="H130" s="45"/>
      <c r="I130" s="52"/>
      <c r="J130" s="45"/>
      <c r="K130" s="45"/>
      <c r="L130" s="45"/>
      <c r="M130" s="52"/>
      <c r="N130" s="45"/>
      <c r="O130" s="45"/>
      <c r="P130" s="45"/>
      <c r="Q130" s="45"/>
      <c r="R130" s="50"/>
      <c r="S130" s="45"/>
      <c r="T130" s="51"/>
      <c r="U130" s="53"/>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ht="12.75" customHeight="1">
      <c r="A131" s="50"/>
      <c r="B131" s="50"/>
      <c r="C131" s="51"/>
      <c r="D131" s="45"/>
      <c r="E131" s="50"/>
      <c r="F131" s="50"/>
      <c r="G131" s="51"/>
      <c r="H131" s="45"/>
      <c r="I131" s="52"/>
      <c r="J131" s="45"/>
      <c r="K131" s="45"/>
      <c r="L131" s="45"/>
      <c r="M131" s="52"/>
      <c r="N131" s="45"/>
      <c r="O131" s="45"/>
      <c r="P131" s="45"/>
      <c r="Q131" s="45"/>
      <c r="R131" s="50"/>
      <c r="S131" s="45"/>
      <c r="T131" s="51"/>
      <c r="U131" s="53"/>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ht="12.75" customHeight="1">
      <c r="A132" s="50"/>
      <c r="B132" s="50"/>
      <c r="C132" s="51"/>
      <c r="D132" s="45"/>
      <c r="E132" s="50"/>
      <c r="F132" s="50"/>
      <c r="G132" s="51"/>
      <c r="H132" s="45"/>
      <c r="I132" s="52"/>
      <c r="J132" s="45"/>
      <c r="K132" s="45"/>
      <c r="L132" s="45"/>
      <c r="M132" s="52"/>
      <c r="N132" s="45"/>
      <c r="O132" s="45"/>
      <c r="P132" s="45"/>
      <c r="Q132" s="45"/>
      <c r="R132" s="50"/>
      <c r="S132" s="45"/>
      <c r="T132" s="51"/>
      <c r="U132" s="53"/>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ht="12.75" customHeight="1">
      <c r="A133" s="50"/>
      <c r="B133" s="50"/>
      <c r="C133" s="51"/>
      <c r="D133" s="45"/>
      <c r="E133" s="50"/>
      <c r="F133" s="50"/>
      <c r="G133" s="51"/>
      <c r="H133" s="45"/>
      <c r="I133" s="52"/>
      <c r="J133" s="45"/>
      <c r="K133" s="45"/>
      <c r="L133" s="45"/>
      <c r="M133" s="52"/>
      <c r="N133" s="45"/>
      <c r="O133" s="45"/>
      <c r="P133" s="45"/>
      <c r="Q133" s="45"/>
      <c r="R133" s="50"/>
      <c r="S133" s="45"/>
      <c r="T133" s="51"/>
      <c r="U133" s="53"/>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ht="12.75" customHeight="1">
      <c r="A134" s="50"/>
      <c r="B134" s="50"/>
      <c r="C134" s="51"/>
      <c r="D134" s="45"/>
      <c r="E134" s="50"/>
      <c r="F134" s="50"/>
      <c r="G134" s="51"/>
      <c r="H134" s="45"/>
      <c r="I134" s="52"/>
      <c r="J134" s="45"/>
      <c r="K134" s="45"/>
      <c r="L134" s="45"/>
      <c r="M134" s="52"/>
      <c r="N134" s="45"/>
      <c r="O134" s="45"/>
      <c r="P134" s="45"/>
      <c r="Q134" s="45"/>
      <c r="R134" s="50"/>
      <c r="S134" s="45"/>
      <c r="T134" s="51"/>
      <c r="U134" s="53"/>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ht="12.75" customHeight="1">
      <c r="A135" s="50"/>
      <c r="B135" s="50"/>
      <c r="C135" s="51"/>
      <c r="D135" s="45"/>
      <c r="E135" s="50"/>
      <c r="F135" s="50"/>
      <c r="G135" s="51"/>
      <c r="H135" s="45"/>
      <c r="I135" s="52"/>
      <c r="J135" s="45"/>
      <c r="K135" s="45"/>
      <c r="L135" s="45"/>
      <c r="M135" s="52"/>
      <c r="N135" s="45"/>
      <c r="O135" s="45"/>
      <c r="P135" s="45"/>
      <c r="Q135" s="45"/>
      <c r="R135" s="50"/>
      <c r="S135" s="45"/>
      <c r="T135" s="51"/>
      <c r="U135" s="53"/>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ht="12.75" customHeight="1">
      <c r="A136" s="50"/>
      <c r="B136" s="50"/>
      <c r="C136" s="51"/>
      <c r="D136" s="45"/>
      <c r="E136" s="50"/>
      <c r="F136" s="50"/>
      <c r="G136" s="51"/>
      <c r="H136" s="45"/>
      <c r="I136" s="52"/>
      <c r="J136" s="45"/>
      <c r="K136" s="45"/>
      <c r="L136" s="45"/>
      <c r="M136" s="52"/>
      <c r="N136" s="45"/>
      <c r="O136" s="45"/>
      <c r="P136" s="45"/>
      <c r="Q136" s="45"/>
      <c r="R136" s="50"/>
      <c r="S136" s="45"/>
      <c r="T136" s="51"/>
      <c r="U136" s="53"/>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ht="12.75" customHeight="1">
      <c r="A137" s="50"/>
      <c r="B137" s="50"/>
      <c r="C137" s="51"/>
      <c r="D137" s="45"/>
      <c r="E137" s="50"/>
      <c r="F137" s="50"/>
      <c r="G137" s="51"/>
      <c r="H137" s="45"/>
      <c r="I137" s="52"/>
      <c r="J137" s="45"/>
      <c r="K137" s="45"/>
      <c r="L137" s="45"/>
      <c r="M137" s="52"/>
      <c r="N137" s="45"/>
      <c r="O137" s="45"/>
      <c r="P137" s="45"/>
      <c r="Q137" s="45"/>
      <c r="R137" s="50"/>
      <c r="S137" s="45"/>
      <c r="T137" s="51"/>
      <c r="U137" s="53"/>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ht="12.75" customHeight="1">
      <c r="A138" s="50"/>
      <c r="B138" s="50"/>
      <c r="C138" s="51"/>
      <c r="D138" s="45"/>
      <c r="E138" s="50"/>
      <c r="F138" s="50"/>
      <c r="G138" s="51"/>
      <c r="H138" s="45"/>
      <c r="I138" s="52"/>
      <c r="J138" s="45"/>
      <c r="K138" s="45"/>
      <c r="L138" s="45"/>
      <c r="M138" s="52"/>
      <c r="N138" s="45"/>
      <c r="O138" s="45"/>
      <c r="P138" s="45"/>
      <c r="Q138" s="45"/>
      <c r="R138" s="50"/>
      <c r="S138" s="45"/>
      <c r="T138" s="51"/>
      <c r="U138" s="53"/>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ht="12.75" customHeight="1">
      <c r="A139" s="50"/>
      <c r="B139" s="50"/>
      <c r="C139" s="51"/>
      <c r="D139" s="45"/>
      <c r="E139" s="50"/>
      <c r="F139" s="50"/>
      <c r="G139" s="51"/>
      <c r="H139" s="45"/>
      <c r="I139" s="52"/>
      <c r="J139" s="45"/>
      <c r="K139" s="45"/>
      <c r="L139" s="45"/>
      <c r="M139" s="52"/>
      <c r="N139" s="45"/>
      <c r="O139" s="45"/>
      <c r="P139" s="45"/>
      <c r="Q139" s="45"/>
      <c r="R139" s="50"/>
      <c r="S139" s="45"/>
      <c r="T139" s="51"/>
      <c r="U139" s="53"/>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ht="12.75" customHeight="1">
      <c r="A140" s="50"/>
      <c r="B140" s="50"/>
      <c r="C140" s="51"/>
      <c r="D140" s="45"/>
      <c r="E140" s="50"/>
      <c r="F140" s="50"/>
      <c r="G140" s="51"/>
      <c r="H140" s="45"/>
      <c r="I140" s="52"/>
      <c r="J140" s="45"/>
      <c r="K140" s="45"/>
      <c r="L140" s="45"/>
      <c r="M140" s="52"/>
      <c r="N140" s="45"/>
      <c r="O140" s="45"/>
      <c r="P140" s="45"/>
      <c r="Q140" s="45"/>
      <c r="R140" s="50"/>
      <c r="S140" s="45"/>
      <c r="T140" s="51"/>
      <c r="U140" s="53"/>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ht="12.75" customHeight="1">
      <c r="A141" s="50"/>
      <c r="B141" s="50"/>
      <c r="C141" s="51"/>
      <c r="D141" s="45"/>
      <c r="E141" s="50"/>
      <c r="F141" s="50"/>
      <c r="G141" s="51"/>
      <c r="H141" s="45"/>
      <c r="I141" s="52"/>
      <c r="J141" s="45"/>
      <c r="K141" s="45"/>
      <c r="L141" s="45"/>
      <c r="M141" s="52"/>
      <c r="N141" s="45"/>
      <c r="O141" s="45"/>
      <c r="P141" s="45"/>
      <c r="Q141" s="45"/>
      <c r="R141" s="50"/>
      <c r="S141" s="45"/>
      <c r="T141" s="51"/>
      <c r="U141" s="53"/>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ht="12.75" customHeight="1">
      <c r="A142" s="50"/>
      <c r="B142" s="50"/>
      <c r="C142" s="51"/>
      <c r="D142" s="45"/>
      <c r="E142" s="50"/>
      <c r="F142" s="50"/>
      <c r="G142" s="51"/>
      <c r="H142" s="45"/>
      <c r="I142" s="52"/>
      <c r="J142" s="45"/>
      <c r="K142" s="45"/>
      <c r="L142" s="45"/>
      <c r="M142" s="52"/>
      <c r="N142" s="45"/>
      <c r="O142" s="45"/>
      <c r="P142" s="45"/>
      <c r="Q142" s="45"/>
      <c r="R142" s="50"/>
      <c r="S142" s="45"/>
      <c r="T142" s="51"/>
      <c r="U142" s="53"/>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ht="12.75" customHeight="1">
      <c r="A143" s="50"/>
      <c r="B143" s="50"/>
      <c r="C143" s="51"/>
      <c r="D143" s="45"/>
      <c r="E143" s="50"/>
      <c r="F143" s="50"/>
      <c r="G143" s="51"/>
      <c r="H143" s="45"/>
      <c r="I143" s="52"/>
      <c r="J143" s="45"/>
      <c r="K143" s="45"/>
      <c r="L143" s="45"/>
      <c r="M143" s="52"/>
      <c r="N143" s="45"/>
      <c r="O143" s="45"/>
      <c r="P143" s="45"/>
      <c r="Q143" s="45"/>
      <c r="R143" s="50"/>
      <c r="S143" s="45"/>
      <c r="T143" s="51"/>
      <c r="U143" s="53"/>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ht="12.75" customHeight="1">
      <c r="A144" s="50"/>
      <c r="B144" s="50"/>
      <c r="C144" s="51"/>
      <c r="D144" s="45"/>
      <c r="E144" s="50"/>
      <c r="F144" s="50"/>
      <c r="G144" s="51"/>
      <c r="H144" s="45"/>
      <c r="I144" s="52"/>
      <c r="J144" s="45"/>
      <c r="K144" s="45"/>
      <c r="L144" s="45"/>
      <c r="M144" s="52"/>
      <c r="N144" s="45"/>
      <c r="O144" s="45"/>
      <c r="P144" s="45"/>
      <c r="Q144" s="45"/>
      <c r="R144" s="50"/>
      <c r="S144" s="45"/>
      <c r="T144" s="51"/>
      <c r="U144" s="53"/>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ht="12.75" customHeight="1">
      <c r="A145" s="50"/>
      <c r="B145" s="50"/>
      <c r="C145" s="51"/>
      <c r="D145" s="45"/>
      <c r="E145" s="50"/>
      <c r="F145" s="50"/>
      <c r="G145" s="51"/>
      <c r="H145" s="45"/>
      <c r="I145" s="52"/>
      <c r="J145" s="45"/>
      <c r="K145" s="45"/>
      <c r="L145" s="45"/>
      <c r="M145" s="52"/>
      <c r="N145" s="45"/>
      <c r="O145" s="45"/>
      <c r="P145" s="45"/>
      <c r="Q145" s="45"/>
      <c r="R145" s="50"/>
      <c r="S145" s="45"/>
      <c r="T145" s="51"/>
      <c r="U145" s="53"/>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ht="12.75" customHeight="1">
      <c r="A146" s="50"/>
      <c r="B146" s="50"/>
      <c r="C146" s="51"/>
      <c r="D146" s="45"/>
      <c r="E146" s="50"/>
      <c r="F146" s="50"/>
      <c r="G146" s="51"/>
      <c r="H146" s="45"/>
      <c r="I146" s="52"/>
      <c r="J146" s="45"/>
      <c r="K146" s="45"/>
      <c r="L146" s="45"/>
      <c r="M146" s="52"/>
      <c r="N146" s="45"/>
      <c r="O146" s="45"/>
      <c r="P146" s="45"/>
      <c r="Q146" s="45"/>
      <c r="R146" s="50"/>
      <c r="S146" s="45"/>
      <c r="T146" s="51"/>
      <c r="U146" s="53"/>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ht="12.75" customHeight="1">
      <c r="A147" s="50"/>
      <c r="B147" s="50"/>
      <c r="C147" s="51"/>
      <c r="D147" s="45"/>
      <c r="E147" s="50"/>
      <c r="F147" s="50"/>
      <c r="G147" s="51"/>
      <c r="H147" s="45"/>
      <c r="I147" s="52"/>
      <c r="J147" s="45"/>
      <c r="K147" s="45"/>
      <c r="L147" s="45"/>
      <c r="M147" s="52"/>
      <c r="N147" s="45"/>
      <c r="O147" s="45"/>
      <c r="P147" s="45"/>
      <c r="Q147" s="45"/>
      <c r="R147" s="50"/>
      <c r="S147" s="45"/>
      <c r="T147" s="51"/>
      <c r="U147" s="53"/>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ht="12.75" customHeight="1">
      <c r="A148" s="50"/>
      <c r="B148" s="50"/>
      <c r="C148" s="51"/>
      <c r="D148" s="45"/>
      <c r="E148" s="50"/>
      <c r="F148" s="50"/>
      <c r="G148" s="51"/>
      <c r="H148" s="45"/>
      <c r="I148" s="52"/>
      <c r="J148" s="45"/>
      <c r="K148" s="45"/>
      <c r="L148" s="45"/>
      <c r="M148" s="52"/>
      <c r="N148" s="45"/>
      <c r="O148" s="45"/>
      <c r="P148" s="45"/>
      <c r="Q148" s="45"/>
      <c r="R148" s="50"/>
      <c r="S148" s="45"/>
      <c r="T148" s="51"/>
      <c r="U148" s="53"/>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ht="12.75" customHeight="1">
      <c r="A149" s="50"/>
      <c r="B149" s="50"/>
      <c r="C149" s="51"/>
      <c r="D149" s="45"/>
      <c r="E149" s="50"/>
      <c r="F149" s="50"/>
      <c r="G149" s="51"/>
      <c r="H149" s="45"/>
      <c r="I149" s="52"/>
      <c r="J149" s="45"/>
      <c r="K149" s="45"/>
      <c r="L149" s="45"/>
      <c r="M149" s="52"/>
      <c r="N149" s="45"/>
      <c r="O149" s="45"/>
      <c r="P149" s="45"/>
      <c r="Q149" s="45"/>
      <c r="R149" s="50"/>
      <c r="S149" s="45"/>
      <c r="T149" s="51"/>
      <c r="U149" s="53"/>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ht="12.75" customHeight="1">
      <c r="A150" s="50"/>
      <c r="B150" s="50"/>
      <c r="C150" s="51"/>
      <c r="D150" s="45"/>
      <c r="E150" s="50"/>
      <c r="F150" s="50"/>
      <c r="G150" s="51"/>
      <c r="H150" s="45"/>
      <c r="I150" s="52"/>
      <c r="J150" s="45"/>
      <c r="K150" s="45"/>
      <c r="L150" s="45"/>
      <c r="M150" s="52"/>
      <c r="N150" s="45"/>
      <c r="O150" s="45"/>
      <c r="P150" s="45"/>
      <c r="Q150" s="45"/>
      <c r="R150" s="50"/>
      <c r="S150" s="45"/>
      <c r="T150" s="51"/>
      <c r="U150" s="53"/>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ht="12.75" customHeight="1">
      <c r="A151" s="50"/>
      <c r="B151" s="50"/>
      <c r="C151" s="51"/>
      <c r="D151" s="45"/>
      <c r="E151" s="50"/>
      <c r="F151" s="50"/>
      <c r="G151" s="51"/>
      <c r="H151" s="45"/>
      <c r="I151" s="52"/>
      <c r="J151" s="45"/>
      <c r="K151" s="45"/>
      <c r="L151" s="45"/>
      <c r="M151" s="52"/>
      <c r="N151" s="45"/>
      <c r="O151" s="45"/>
      <c r="P151" s="45"/>
      <c r="Q151" s="45"/>
      <c r="R151" s="50"/>
      <c r="S151" s="45"/>
      <c r="T151" s="51"/>
      <c r="U151" s="53"/>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ht="12.75" customHeight="1">
      <c r="A152" s="50"/>
      <c r="B152" s="50"/>
      <c r="C152" s="51"/>
      <c r="D152" s="45"/>
      <c r="E152" s="50"/>
      <c r="F152" s="50"/>
      <c r="G152" s="51"/>
      <c r="H152" s="45"/>
      <c r="I152" s="52"/>
      <c r="J152" s="45"/>
      <c r="K152" s="45"/>
      <c r="L152" s="45"/>
      <c r="M152" s="52"/>
      <c r="N152" s="45"/>
      <c r="O152" s="45"/>
      <c r="P152" s="45"/>
      <c r="Q152" s="45"/>
      <c r="R152" s="50"/>
      <c r="S152" s="45"/>
      <c r="T152" s="51"/>
      <c r="U152" s="53"/>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ht="12.75" customHeight="1">
      <c r="A153" s="50"/>
      <c r="B153" s="50"/>
      <c r="C153" s="51"/>
      <c r="D153" s="45"/>
      <c r="E153" s="50"/>
      <c r="F153" s="50"/>
      <c r="G153" s="51"/>
      <c r="H153" s="45"/>
      <c r="I153" s="52"/>
      <c r="J153" s="45"/>
      <c r="K153" s="45"/>
      <c r="L153" s="45"/>
      <c r="M153" s="52"/>
      <c r="N153" s="45"/>
      <c r="O153" s="45"/>
      <c r="P153" s="45"/>
      <c r="Q153" s="45"/>
      <c r="R153" s="50"/>
      <c r="S153" s="45"/>
      <c r="T153" s="51"/>
      <c r="U153" s="53"/>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ht="12.75" customHeight="1">
      <c r="A154" s="50"/>
      <c r="B154" s="50"/>
      <c r="C154" s="51"/>
      <c r="D154" s="45"/>
      <c r="E154" s="50"/>
      <c r="F154" s="50"/>
      <c r="G154" s="51"/>
      <c r="H154" s="45"/>
      <c r="I154" s="52"/>
      <c r="J154" s="45"/>
      <c r="K154" s="45"/>
      <c r="L154" s="45"/>
      <c r="M154" s="52"/>
      <c r="N154" s="45"/>
      <c r="O154" s="45"/>
      <c r="P154" s="45"/>
      <c r="Q154" s="45"/>
      <c r="R154" s="50"/>
      <c r="S154" s="45"/>
      <c r="T154" s="51"/>
      <c r="U154" s="53"/>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ht="12.75" customHeight="1">
      <c r="A155" s="50"/>
      <c r="B155" s="50"/>
      <c r="C155" s="51"/>
      <c r="D155" s="45"/>
      <c r="E155" s="50"/>
      <c r="F155" s="50"/>
      <c r="G155" s="51"/>
      <c r="H155" s="45"/>
      <c r="I155" s="52"/>
      <c r="J155" s="45"/>
      <c r="K155" s="45"/>
      <c r="L155" s="45"/>
      <c r="M155" s="52"/>
      <c r="N155" s="45"/>
      <c r="O155" s="45"/>
      <c r="P155" s="45"/>
      <c r="Q155" s="45"/>
      <c r="R155" s="50"/>
      <c r="S155" s="45"/>
      <c r="T155" s="51"/>
      <c r="U155" s="53"/>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ht="12.75" customHeight="1">
      <c r="A156" s="50"/>
      <c r="B156" s="50"/>
      <c r="C156" s="51"/>
      <c r="D156" s="45"/>
      <c r="E156" s="50"/>
      <c r="F156" s="50"/>
      <c r="G156" s="51"/>
      <c r="H156" s="45"/>
      <c r="I156" s="52"/>
      <c r="J156" s="45"/>
      <c r="K156" s="45"/>
      <c r="L156" s="45"/>
      <c r="M156" s="52"/>
      <c r="N156" s="45"/>
      <c r="O156" s="45"/>
      <c r="P156" s="45"/>
      <c r="Q156" s="45"/>
      <c r="R156" s="50"/>
      <c r="S156" s="45"/>
      <c r="T156" s="51"/>
      <c r="U156" s="53"/>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ht="12.75" customHeight="1">
      <c r="A157" s="50"/>
      <c r="B157" s="50"/>
      <c r="C157" s="51"/>
      <c r="D157" s="45"/>
      <c r="E157" s="50"/>
      <c r="F157" s="50"/>
      <c r="G157" s="51"/>
      <c r="H157" s="45"/>
      <c r="I157" s="52"/>
      <c r="J157" s="45"/>
      <c r="K157" s="45"/>
      <c r="L157" s="45"/>
      <c r="M157" s="52"/>
      <c r="N157" s="45"/>
      <c r="O157" s="45"/>
      <c r="P157" s="45"/>
      <c r="Q157" s="45"/>
      <c r="R157" s="50"/>
      <c r="S157" s="45"/>
      <c r="T157" s="51"/>
      <c r="U157" s="53"/>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ht="12.75" customHeight="1">
      <c r="A158" s="50"/>
      <c r="B158" s="50"/>
      <c r="C158" s="51"/>
      <c r="D158" s="45"/>
      <c r="E158" s="50"/>
      <c r="F158" s="50"/>
      <c r="G158" s="51"/>
      <c r="H158" s="45"/>
      <c r="I158" s="52"/>
      <c r="J158" s="45"/>
      <c r="K158" s="45"/>
      <c r="L158" s="45"/>
      <c r="M158" s="52"/>
      <c r="N158" s="45"/>
      <c r="O158" s="45"/>
      <c r="P158" s="45"/>
      <c r="Q158" s="45"/>
      <c r="R158" s="50"/>
      <c r="S158" s="45"/>
      <c r="T158" s="51"/>
      <c r="U158" s="53"/>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ht="12.75" customHeight="1">
      <c r="A159" s="50"/>
      <c r="B159" s="50"/>
      <c r="C159" s="51"/>
      <c r="D159" s="45"/>
      <c r="E159" s="50"/>
      <c r="F159" s="50"/>
      <c r="G159" s="51"/>
      <c r="H159" s="45"/>
      <c r="I159" s="52"/>
      <c r="J159" s="45"/>
      <c r="K159" s="45"/>
      <c r="L159" s="45"/>
      <c r="M159" s="52"/>
      <c r="N159" s="45"/>
      <c r="O159" s="45"/>
      <c r="P159" s="45"/>
      <c r="Q159" s="45"/>
      <c r="R159" s="50"/>
      <c r="S159" s="45"/>
      <c r="T159" s="51"/>
      <c r="U159" s="53"/>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ht="12.75" customHeight="1">
      <c r="A160" s="50"/>
      <c r="B160" s="50"/>
      <c r="C160" s="51"/>
      <c r="D160" s="45"/>
      <c r="E160" s="50"/>
      <c r="F160" s="50"/>
      <c r="G160" s="51"/>
      <c r="H160" s="45"/>
      <c r="I160" s="52"/>
      <c r="J160" s="45"/>
      <c r="K160" s="45"/>
      <c r="L160" s="45"/>
      <c r="M160" s="52"/>
      <c r="N160" s="45"/>
      <c r="O160" s="45"/>
      <c r="P160" s="45"/>
      <c r="Q160" s="45"/>
      <c r="R160" s="50"/>
      <c r="S160" s="45"/>
      <c r="T160" s="51"/>
      <c r="U160" s="53"/>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ht="12.75" customHeight="1">
      <c r="A161" s="50"/>
      <c r="B161" s="50"/>
      <c r="C161" s="51"/>
      <c r="D161" s="45"/>
      <c r="E161" s="50"/>
      <c r="F161" s="50"/>
      <c r="G161" s="51"/>
      <c r="H161" s="45"/>
      <c r="I161" s="52"/>
      <c r="J161" s="45"/>
      <c r="K161" s="45"/>
      <c r="L161" s="45"/>
      <c r="M161" s="52"/>
      <c r="N161" s="45"/>
      <c r="O161" s="45"/>
      <c r="P161" s="45"/>
      <c r="Q161" s="45"/>
      <c r="R161" s="50"/>
      <c r="S161" s="45"/>
      <c r="T161" s="51"/>
      <c r="U161" s="53"/>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ht="12.75" customHeight="1">
      <c r="A162" s="50"/>
      <c r="B162" s="50"/>
      <c r="C162" s="51"/>
      <c r="D162" s="45"/>
      <c r="E162" s="50"/>
      <c r="F162" s="50"/>
      <c r="G162" s="51"/>
      <c r="H162" s="45"/>
      <c r="I162" s="52"/>
      <c r="J162" s="45"/>
      <c r="K162" s="45"/>
      <c r="L162" s="45"/>
      <c r="M162" s="52"/>
      <c r="N162" s="45"/>
      <c r="O162" s="45"/>
      <c r="P162" s="45"/>
      <c r="Q162" s="45"/>
      <c r="R162" s="50"/>
      <c r="S162" s="45"/>
      <c r="T162" s="51"/>
      <c r="U162" s="53"/>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ht="12.75" customHeight="1">
      <c r="A163" s="50"/>
      <c r="B163" s="50"/>
      <c r="C163" s="51"/>
      <c r="D163" s="45"/>
      <c r="E163" s="50"/>
      <c r="F163" s="50"/>
      <c r="G163" s="51"/>
      <c r="H163" s="45"/>
      <c r="I163" s="52"/>
      <c r="J163" s="45"/>
      <c r="K163" s="45"/>
      <c r="L163" s="45"/>
      <c r="M163" s="52"/>
      <c r="N163" s="45"/>
      <c r="O163" s="45"/>
      <c r="P163" s="45"/>
      <c r="Q163" s="45"/>
      <c r="R163" s="50"/>
      <c r="S163" s="45"/>
      <c r="T163" s="51"/>
      <c r="U163" s="53"/>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ht="12.75" customHeight="1">
      <c r="A164" s="50"/>
      <c r="B164" s="50"/>
      <c r="C164" s="51"/>
      <c r="D164" s="45"/>
      <c r="E164" s="50"/>
      <c r="F164" s="50"/>
      <c r="G164" s="51"/>
      <c r="H164" s="45"/>
      <c r="I164" s="52"/>
      <c r="J164" s="45"/>
      <c r="K164" s="45"/>
      <c r="L164" s="45"/>
      <c r="M164" s="52"/>
      <c r="N164" s="45"/>
      <c r="O164" s="45"/>
      <c r="P164" s="45"/>
      <c r="Q164" s="45"/>
      <c r="R164" s="50"/>
      <c r="S164" s="45"/>
      <c r="T164" s="51"/>
      <c r="U164" s="53"/>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ht="12.75" customHeight="1">
      <c r="A165" s="50"/>
      <c r="B165" s="50"/>
      <c r="C165" s="51"/>
      <c r="D165" s="45"/>
      <c r="E165" s="50"/>
      <c r="F165" s="50"/>
      <c r="G165" s="51"/>
      <c r="H165" s="45"/>
      <c r="I165" s="52"/>
      <c r="J165" s="45"/>
      <c r="K165" s="45"/>
      <c r="L165" s="45"/>
      <c r="M165" s="52"/>
      <c r="N165" s="45"/>
      <c r="O165" s="45"/>
      <c r="P165" s="45"/>
      <c r="Q165" s="45"/>
      <c r="R165" s="50"/>
      <c r="S165" s="45"/>
      <c r="T165" s="51"/>
      <c r="U165" s="53"/>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ht="12.75" customHeight="1">
      <c r="A166" s="50"/>
      <c r="B166" s="50"/>
      <c r="C166" s="51"/>
      <c r="D166" s="45"/>
      <c r="E166" s="50"/>
      <c r="F166" s="50"/>
      <c r="G166" s="51"/>
      <c r="H166" s="45"/>
      <c r="I166" s="52"/>
      <c r="J166" s="45"/>
      <c r="K166" s="45"/>
      <c r="L166" s="45"/>
      <c r="M166" s="52"/>
      <c r="N166" s="45"/>
      <c r="O166" s="45"/>
      <c r="P166" s="45"/>
      <c r="Q166" s="45"/>
      <c r="R166" s="50"/>
      <c r="S166" s="45"/>
      <c r="T166" s="51"/>
      <c r="U166" s="53"/>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ht="12.75" customHeight="1">
      <c r="A167" s="50"/>
      <c r="B167" s="50"/>
      <c r="C167" s="51"/>
      <c r="D167" s="45"/>
      <c r="E167" s="50"/>
      <c r="F167" s="50"/>
      <c r="G167" s="51"/>
      <c r="H167" s="45"/>
      <c r="I167" s="52"/>
      <c r="J167" s="45"/>
      <c r="K167" s="45"/>
      <c r="L167" s="45"/>
      <c r="M167" s="52"/>
      <c r="N167" s="45"/>
      <c r="O167" s="45"/>
      <c r="P167" s="45"/>
      <c r="Q167" s="45"/>
      <c r="R167" s="50"/>
      <c r="S167" s="45"/>
      <c r="T167" s="51"/>
      <c r="U167" s="53"/>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ht="12.75" customHeight="1">
      <c r="A168" s="50"/>
      <c r="B168" s="50"/>
      <c r="C168" s="51"/>
      <c r="D168" s="45"/>
      <c r="E168" s="50"/>
      <c r="F168" s="50"/>
      <c r="G168" s="51"/>
      <c r="H168" s="45"/>
      <c r="I168" s="52"/>
      <c r="J168" s="45"/>
      <c r="K168" s="45"/>
      <c r="L168" s="45"/>
      <c r="M168" s="52"/>
      <c r="N168" s="45"/>
      <c r="O168" s="45"/>
      <c r="P168" s="45"/>
      <c r="Q168" s="45"/>
      <c r="R168" s="50"/>
      <c r="S168" s="45"/>
      <c r="T168" s="51"/>
      <c r="U168" s="53"/>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ht="12.75" customHeight="1">
      <c r="A169" s="50"/>
      <c r="B169" s="50"/>
      <c r="C169" s="51"/>
      <c r="D169" s="45"/>
      <c r="E169" s="50"/>
      <c r="F169" s="50"/>
      <c r="G169" s="51"/>
      <c r="H169" s="45"/>
      <c r="I169" s="52"/>
      <c r="J169" s="45"/>
      <c r="K169" s="45"/>
      <c r="L169" s="45"/>
      <c r="M169" s="52"/>
      <c r="N169" s="45"/>
      <c r="O169" s="45"/>
      <c r="P169" s="45"/>
      <c r="Q169" s="45"/>
      <c r="R169" s="50"/>
      <c r="S169" s="45"/>
      <c r="T169" s="51"/>
      <c r="U169" s="53"/>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ht="12.75" customHeight="1">
      <c r="A170" s="50"/>
      <c r="B170" s="50"/>
      <c r="C170" s="51"/>
      <c r="D170" s="45"/>
      <c r="E170" s="50"/>
      <c r="F170" s="50"/>
      <c r="G170" s="51"/>
      <c r="H170" s="45"/>
      <c r="I170" s="52"/>
      <c r="J170" s="45"/>
      <c r="K170" s="45"/>
      <c r="L170" s="45"/>
      <c r="M170" s="52"/>
      <c r="N170" s="45"/>
      <c r="O170" s="45"/>
      <c r="P170" s="45"/>
      <c r="Q170" s="45"/>
      <c r="R170" s="50"/>
      <c r="S170" s="45"/>
      <c r="T170" s="51"/>
      <c r="U170" s="53"/>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ht="12.75" customHeight="1">
      <c r="A171" s="50"/>
      <c r="B171" s="50"/>
      <c r="C171" s="51"/>
      <c r="D171" s="45"/>
      <c r="E171" s="50"/>
      <c r="F171" s="50"/>
      <c r="G171" s="51"/>
      <c r="H171" s="45"/>
      <c r="I171" s="52"/>
      <c r="J171" s="45"/>
      <c r="K171" s="45"/>
      <c r="L171" s="45"/>
      <c r="M171" s="52"/>
      <c r="N171" s="45"/>
      <c r="O171" s="45"/>
      <c r="P171" s="45"/>
      <c r="Q171" s="45"/>
      <c r="R171" s="50"/>
      <c r="S171" s="45"/>
      <c r="T171" s="51"/>
      <c r="U171" s="53"/>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ht="12.75" customHeight="1">
      <c r="A172" s="50"/>
      <c r="B172" s="50"/>
      <c r="C172" s="51"/>
      <c r="D172" s="45"/>
      <c r="E172" s="50"/>
      <c r="F172" s="50"/>
      <c r="G172" s="51"/>
      <c r="H172" s="45"/>
      <c r="I172" s="52"/>
      <c r="J172" s="45"/>
      <c r="K172" s="45"/>
      <c r="L172" s="45"/>
      <c r="M172" s="52"/>
      <c r="N172" s="45"/>
      <c r="O172" s="45"/>
      <c r="P172" s="45"/>
      <c r="Q172" s="45"/>
      <c r="R172" s="50"/>
      <c r="S172" s="45"/>
      <c r="T172" s="51"/>
      <c r="U172" s="53"/>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ht="12.75" customHeight="1">
      <c r="A173" s="50"/>
      <c r="B173" s="50"/>
      <c r="C173" s="51"/>
      <c r="D173" s="45"/>
      <c r="E173" s="50"/>
      <c r="F173" s="50"/>
      <c r="G173" s="51"/>
      <c r="H173" s="45"/>
      <c r="I173" s="52"/>
      <c r="J173" s="45"/>
      <c r="K173" s="45"/>
      <c r="L173" s="45"/>
      <c r="M173" s="52"/>
      <c r="N173" s="45"/>
      <c r="O173" s="45"/>
      <c r="P173" s="45"/>
      <c r="Q173" s="45"/>
      <c r="R173" s="50"/>
      <c r="S173" s="45"/>
      <c r="T173" s="51"/>
      <c r="U173" s="53"/>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ht="12.75" customHeight="1">
      <c r="A174" s="50"/>
      <c r="B174" s="50"/>
      <c r="C174" s="51"/>
      <c r="D174" s="45"/>
      <c r="E174" s="50"/>
      <c r="F174" s="50"/>
      <c r="G174" s="51"/>
      <c r="H174" s="45"/>
      <c r="I174" s="52"/>
      <c r="J174" s="45"/>
      <c r="K174" s="45"/>
      <c r="L174" s="45"/>
      <c r="M174" s="52"/>
      <c r="N174" s="45"/>
      <c r="O174" s="45"/>
      <c r="P174" s="45"/>
      <c r="Q174" s="45"/>
      <c r="R174" s="50"/>
      <c r="S174" s="45"/>
      <c r="T174" s="51"/>
      <c r="U174" s="53"/>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ht="12.75" customHeight="1">
      <c r="A175" s="50"/>
      <c r="B175" s="50"/>
      <c r="C175" s="51"/>
      <c r="D175" s="45"/>
      <c r="E175" s="50"/>
      <c r="F175" s="50"/>
      <c r="G175" s="51"/>
      <c r="H175" s="45"/>
      <c r="I175" s="52"/>
      <c r="J175" s="45"/>
      <c r="K175" s="45"/>
      <c r="L175" s="45"/>
      <c r="M175" s="52"/>
      <c r="N175" s="45"/>
      <c r="O175" s="45"/>
      <c r="P175" s="45"/>
      <c r="Q175" s="45"/>
      <c r="R175" s="50"/>
      <c r="S175" s="45"/>
      <c r="T175" s="51"/>
      <c r="U175" s="53"/>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ht="12.75" customHeight="1">
      <c r="A176" s="50"/>
      <c r="B176" s="50"/>
      <c r="C176" s="51"/>
      <c r="D176" s="45"/>
      <c r="E176" s="50"/>
      <c r="F176" s="50"/>
      <c r="G176" s="51"/>
      <c r="H176" s="45"/>
      <c r="I176" s="52"/>
      <c r="J176" s="45"/>
      <c r="K176" s="45"/>
      <c r="L176" s="45"/>
      <c r="M176" s="52"/>
      <c r="N176" s="45"/>
      <c r="O176" s="45"/>
      <c r="P176" s="45"/>
      <c r="Q176" s="45"/>
      <c r="R176" s="50"/>
      <c r="S176" s="45"/>
      <c r="T176" s="51"/>
      <c r="U176" s="53"/>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ht="12.75" customHeight="1">
      <c r="A177" s="50"/>
      <c r="B177" s="50"/>
      <c r="C177" s="51"/>
      <c r="D177" s="45"/>
      <c r="E177" s="50"/>
      <c r="F177" s="50"/>
      <c r="G177" s="51"/>
      <c r="H177" s="45"/>
      <c r="I177" s="52"/>
      <c r="J177" s="45"/>
      <c r="K177" s="45"/>
      <c r="L177" s="45"/>
      <c r="M177" s="52"/>
      <c r="N177" s="45"/>
      <c r="O177" s="45"/>
      <c r="P177" s="45"/>
      <c r="Q177" s="45"/>
      <c r="R177" s="50"/>
      <c r="S177" s="45"/>
      <c r="T177" s="51"/>
      <c r="U177" s="53"/>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ht="12.75" customHeight="1">
      <c r="A178" s="50"/>
      <c r="B178" s="50"/>
      <c r="C178" s="51"/>
      <c r="D178" s="45"/>
      <c r="E178" s="50"/>
      <c r="F178" s="50"/>
      <c r="G178" s="51"/>
      <c r="H178" s="45"/>
      <c r="I178" s="52"/>
      <c r="J178" s="45"/>
      <c r="K178" s="45"/>
      <c r="L178" s="45"/>
      <c r="M178" s="52"/>
      <c r="N178" s="45"/>
      <c r="O178" s="45"/>
      <c r="P178" s="45"/>
      <c r="Q178" s="45"/>
      <c r="R178" s="50"/>
      <c r="S178" s="45"/>
      <c r="T178" s="51"/>
      <c r="U178" s="53"/>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ht="12.75" customHeight="1">
      <c r="A179" s="50"/>
      <c r="B179" s="50"/>
      <c r="C179" s="51"/>
      <c r="D179" s="45"/>
      <c r="E179" s="50"/>
      <c r="F179" s="50"/>
      <c r="G179" s="51"/>
      <c r="H179" s="45"/>
      <c r="I179" s="52"/>
      <c r="J179" s="45"/>
      <c r="K179" s="45"/>
      <c r="L179" s="45"/>
      <c r="M179" s="52"/>
      <c r="N179" s="45"/>
      <c r="O179" s="45"/>
      <c r="P179" s="45"/>
      <c r="Q179" s="45"/>
      <c r="R179" s="50"/>
      <c r="S179" s="45"/>
      <c r="T179" s="51"/>
      <c r="U179" s="53"/>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ht="12.75" customHeight="1">
      <c r="A180" s="50"/>
      <c r="B180" s="50"/>
      <c r="C180" s="51"/>
      <c r="D180" s="45"/>
      <c r="E180" s="50"/>
      <c r="F180" s="50"/>
      <c r="G180" s="51"/>
      <c r="H180" s="45"/>
      <c r="I180" s="52"/>
      <c r="J180" s="45"/>
      <c r="K180" s="45"/>
      <c r="L180" s="45"/>
      <c r="M180" s="52"/>
      <c r="N180" s="45"/>
      <c r="O180" s="45"/>
      <c r="P180" s="45"/>
      <c r="Q180" s="45"/>
      <c r="R180" s="50"/>
      <c r="S180" s="45"/>
      <c r="T180" s="51"/>
      <c r="U180" s="53"/>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ht="12.75" customHeight="1">
      <c r="A181" s="50"/>
      <c r="B181" s="50"/>
      <c r="C181" s="51"/>
      <c r="D181" s="45"/>
      <c r="E181" s="50"/>
      <c r="F181" s="50"/>
      <c r="G181" s="51"/>
      <c r="H181" s="45"/>
      <c r="I181" s="52"/>
      <c r="J181" s="45"/>
      <c r="K181" s="45"/>
      <c r="L181" s="45"/>
      <c r="M181" s="52"/>
      <c r="N181" s="45"/>
      <c r="O181" s="45"/>
      <c r="P181" s="45"/>
      <c r="Q181" s="45"/>
      <c r="R181" s="50"/>
      <c r="S181" s="45"/>
      <c r="T181" s="51"/>
      <c r="U181" s="53"/>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ht="12.75" customHeight="1">
      <c r="A182" s="50"/>
      <c r="B182" s="50"/>
      <c r="C182" s="51"/>
      <c r="D182" s="45"/>
      <c r="E182" s="50"/>
      <c r="F182" s="50"/>
      <c r="G182" s="51"/>
      <c r="H182" s="45"/>
      <c r="I182" s="52"/>
      <c r="J182" s="45"/>
      <c r="K182" s="45"/>
      <c r="L182" s="45"/>
      <c r="M182" s="52"/>
      <c r="N182" s="45"/>
      <c r="O182" s="45"/>
      <c r="P182" s="45"/>
      <c r="Q182" s="45"/>
      <c r="R182" s="50"/>
      <c r="S182" s="45"/>
      <c r="T182" s="51"/>
      <c r="U182" s="53"/>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ht="12.75" customHeight="1">
      <c r="A183" s="50"/>
      <c r="B183" s="50"/>
      <c r="C183" s="51"/>
      <c r="D183" s="45"/>
      <c r="E183" s="50"/>
      <c r="F183" s="50"/>
      <c r="G183" s="51"/>
      <c r="H183" s="45"/>
      <c r="I183" s="52"/>
      <c r="J183" s="45"/>
      <c r="K183" s="45"/>
      <c r="L183" s="45"/>
      <c r="M183" s="52"/>
      <c r="N183" s="45"/>
      <c r="O183" s="45"/>
      <c r="P183" s="45"/>
      <c r="Q183" s="45"/>
      <c r="R183" s="50"/>
      <c r="S183" s="45"/>
      <c r="T183" s="51"/>
      <c r="U183" s="53"/>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ht="12.75" customHeight="1">
      <c r="A184" s="50"/>
      <c r="B184" s="50"/>
      <c r="C184" s="51"/>
      <c r="D184" s="45"/>
      <c r="E184" s="50"/>
      <c r="F184" s="50"/>
      <c r="G184" s="51"/>
      <c r="H184" s="45"/>
      <c r="I184" s="52"/>
      <c r="J184" s="45"/>
      <c r="K184" s="45"/>
      <c r="L184" s="45"/>
      <c r="M184" s="52"/>
      <c r="N184" s="45"/>
      <c r="O184" s="45"/>
      <c r="P184" s="45"/>
      <c r="Q184" s="45"/>
      <c r="R184" s="50"/>
      <c r="S184" s="45"/>
      <c r="T184" s="51"/>
      <c r="U184" s="53"/>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ht="12.75" customHeight="1">
      <c r="A185" s="50"/>
      <c r="B185" s="50"/>
      <c r="C185" s="51"/>
      <c r="D185" s="45"/>
      <c r="E185" s="50"/>
      <c r="F185" s="50"/>
      <c r="G185" s="51"/>
      <c r="H185" s="45"/>
      <c r="I185" s="52"/>
      <c r="J185" s="45"/>
      <c r="K185" s="45"/>
      <c r="L185" s="45"/>
      <c r="M185" s="52"/>
      <c r="N185" s="45"/>
      <c r="O185" s="45"/>
      <c r="P185" s="45"/>
      <c r="Q185" s="45"/>
      <c r="R185" s="50"/>
      <c r="S185" s="45"/>
      <c r="T185" s="51"/>
      <c r="U185" s="53"/>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ht="12.75" customHeight="1">
      <c r="A186" s="50"/>
      <c r="B186" s="50"/>
      <c r="C186" s="51"/>
      <c r="D186" s="45"/>
      <c r="E186" s="50"/>
      <c r="F186" s="50"/>
      <c r="G186" s="51"/>
      <c r="H186" s="45"/>
      <c r="I186" s="52"/>
      <c r="J186" s="45"/>
      <c r="K186" s="45"/>
      <c r="L186" s="45"/>
      <c r="M186" s="52"/>
      <c r="N186" s="45"/>
      <c r="O186" s="45"/>
      <c r="P186" s="45"/>
      <c r="Q186" s="45"/>
      <c r="R186" s="50"/>
      <c r="S186" s="45"/>
      <c r="T186" s="51"/>
      <c r="U186" s="53"/>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ht="12.75" customHeight="1">
      <c r="A187" s="50"/>
      <c r="B187" s="50"/>
      <c r="C187" s="51"/>
      <c r="D187" s="45"/>
      <c r="E187" s="50"/>
      <c r="F187" s="50"/>
      <c r="G187" s="51"/>
      <c r="H187" s="45"/>
      <c r="I187" s="52"/>
      <c r="J187" s="45"/>
      <c r="K187" s="45"/>
      <c r="L187" s="45"/>
      <c r="M187" s="52"/>
      <c r="N187" s="45"/>
      <c r="O187" s="45"/>
      <c r="P187" s="45"/>
      <c r="Q187" s="45"/>
      <c r="R187" s="50"/>
      <c r="S187" s="45"/>
      <c r="T187" s="51"/>
      <c r="U187" s="53"/>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ht="12.75" customHeight="1">
      <c r="A188" s="50"/>
      <c r="B188" s="50"/>
      <c r="C188" s="51"/>
      <c r="D188" s="45"/>
      <c r="E188" s="50"/>
      <c r="F188" s="50"/>
      <c r="G188" s="51"/>
      <c r="H188" s="45"/>
      <c r="I188" s="52"/>
      <c r="J188" s="45"/>
      <c r="K188" s="45"/>
      <c r="L188" s="45"/>
      <c r="M188" s="52"/>
      <c r="N188" s="45"/>
      <c r="O188" s="45"/>
      <c r="P188" s="45"/>
      <c r="Q188" s="45"/>
      <c r="R188" s="50"/>
      <c r="S188" s="45"/>
      <c r="T188" s="51"/>
      <c r="U188" s="53"/>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ht="12.75" customHeight="1">
      <c r="A189" s="50"/>
      <c r="B189" s="50"/>
      <c r="C189" s="51"/>
      <c r="D189" s="45"/>
      <c r="E189" s="50"/>
      <c r="F189" s="50"/>
      <c r="G189" s="51"/>
      <c r="H189" s="45"/>
      <c r="I189" s="52"/>
      <c r="J189" s="45"/>
      <c r="K189" s="45"/>
      <c r="L189" s="45"/>
      <c r="M189" s="52"/>
      <c r="N189" s="45"/>
      <c r="O189" s="45"/>
      <c r="P189" s="45"/>
      <c r="Q189" s="45"/>
      <c r="R189" s="50"/>
      <c r="S189" s="45"/>
      <c r="T189" s="51"/>
      <c r="U189" s="53"/>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ht="12.75" customHeight="1">
      <c r="A190" s="50"/>
      <c r="B190" s="50"/>
      <c r="C190" s="51"/>
      <c r="D190" s="45"/>
      <c r="E190" s="50"/>
      <c r="F190" s="50"/>
      <c r="G190" s="51"/>
      <c r="H190" s="45"/>
      <c r="I190" s="52"/>
      <c r="J190" s="45"/>
      <c r="K190" s="45"/>
      <c r="L190" s="45"/>
      <c r="M190" s="52"/>
      <c r="N190" s="45"/>
      <c r="O190" s="45"/>
      <c r="P190" s="45"/>
      <c r="Q190" s="45"/>
      <c r="R190" s="50"/>
      <c r="S190" s="45"/>
      <c r="T190" s="51"/>
      <c r="U190" s="53"/>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ht="12.75" customHeight="1">
      <c r="A191" s="50"/>
      <c r="B191" s="50"/>
      <c r="C191" s="51"/>
      <c r="D191" s="45"/>
      <c r="E191" s="50"/>
      <c r="F191" s="50"/>
      <c r="G191" s="51"/>
      <c r="H191" s="45"/>
      <c r="I191" s="52"/>
      <c r="J191" s="45"/>
      <c r="K191" s="45"/>
      <c r="L191" s="45"/>
      <c r="M191" s="52"/>
      <c r="N191" s="45"/>
      <c r="O191" s="45"/>
      <c r="P191" s="45"/>
      <c r="Q191" s="45"/>
      <c r="R191" s="50"/>
      <c r="S191" s="45"/>
      <c r="T191" s="51"/>
      <c r="U191" s="53"/>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ht="12.75" customHeight="1">
      <c r="A192" s="50"/>
      <c r="B192" s="50"/>
      <c r="C192" s="51"/>
      <c r="D192" s="45"/>
      <c r="E192" s="50"/>
      <c r="F192" s="50"/>
      <c r="G192" s="51"/>
      <c r="H192" s="45"/>
      <c r="I192" s="52"/>
      <c r="J192" s="45"/>
      <c r="K192" s="45"/>
      <c r="L192" s="45"/>
      <c r="M192" s="52"/>
      <c r="N192" s="45"/>
      <c r="O192" s="45"/>
      <c r="P192" s="45"/>
      <c r="Q192" s="45"/>
      <c r="R192" s="50"/>
      <c r="S192" s="45"/>
      <c r="T192" s="51"/>
      <c r="U192" s="53"/>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ht="12.75" customHeight="1">
      <c r="A193" s="50"/>
      <c r="B193" s="50"/>
      <c r="C193" s="51"/>
      <c r="D193" s="45"/>
      <c r="E193" s="50"/>
      <c r="F193" s="50"/>
      <c r="G193" s="51"/>
      <c r="H193" s="45"/>
      <c r="I193" s="52"/>
      <c r="J193" s="45"/>
      <c r="K193" s="45"/>
      <c r="L193" s="45"/>
      <c r="M193" s="52"/>
      <c r="N193" s="45"/>
      <c r="O193" s="45"/>
      <c r="P193" s="45"/>
      <c r="Q193" s="45"/>
      <c r="R193" s="50"/>
      <c r="S193" s="45"/>
      <c r="T193" s="51"/>
      <c r="U193" s="53"/>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ht="12.75" customHeight="1">
      <c r="A194" s="50"/>
      <c r="B194" s="50"/>
      <c r="C194" s="51"/>
      <c r="D194" s="45"/>
      <c r="E194" s="50"/>
      <c r="F194" s="50"/>
      <c r="G194" s="51"/>
      <c r="H194" s="45"/>
      <c r="I194" s="52"/>
      <c r="J194" s="45"/>
      <c r="K194" s="45"/>
      <c r="L194" s="45"/>
      <c r="M194" s="52"/>
      <c r="N194" s="45"/>
      <c r="O194" s="45"/>
      <c r="P194" s="45"/>
      <c r="Q194" s="45"/>
      <c r="R194" s="50"/>
      <c r="S194" s="45"/>
      <c r="T194" s="51"/>
      <c r="U194" s="53"/>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ht="12.75" customHeight="1">
      <c r="A195" s="50"/>
      <c r="B195" s="50"/>
      <c r="C195" s="51"/>
      <c r="D195" s="45"/>
      <c r="E195" s="50"/>
      <c r="F195" s="50"/>
      <c r="G195" s="51"/>
      <c r="H195" s="45"/>
      <c r="I195" s="52"/>
      <c r="J195" s="45"/>
      <c r="K195" s="45"/>
      <c r="L195" s="45"/>
      <c r="M195" s="52"/>
      <c r="N195" s="45"/>
      <c r="O195" s="45"/>
      <c r="P195" s="45"/>
      <c r="Q195" s="45"/>
      <c r="R195" s="50"/>
      <c r="S195" s="45"/>
      <c r="T195" s="51"/>
      <c r="U195" s="53"/>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ht="12.75" customHeight="1">
      <c r="A196" s="50"/>
      <c r="B196" s="50"/>
      <c r="C196" s="51"/>
      <c r="D196" s="45"/>
      <c r="E196" s="50"/>
      <c r="F196" s="50"/>
      <c r="G196" s="51"/>
      <c r="H196" s="45"/>
      <c r="I196" s="52"/>
      <c r="J196" s="45"/>
      <c r="K196" s="45"/>
      <c r="L196" s="45"/>
      <c r="M196" s="52"/>
      <c r="N196" s="45"/>
      <c r="O196" s="45"/>
      <c r="P196" s="45"/>
      <c r="Q196" s="45"/>
      <c r="R196" s="50"/>
      <c r="S196" s="45"/>
      <c r="T196" s="51"/>
      <c r="U196" s="53"/>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ht="12.75" customHeight="1">
      <c r="A197" s="50"/>
      <c r="B197" s="50"/>
      <c r="C197" s="51"/>
      <c r="D197" s="45"/>
      <c r="E197" s="50"/>
      <c r="F197" s="50"/>
      <c r="G197" s="51"/>
      <c r="H197" s="45"/>
      <c r="I197" s="52"/>
      <c r="J197" s="45"/>
      <c r="K197" s="45"/>
      <c r="L197" s="45"/>
      <c r="M197" s="52"/>
      <c r="N197" s="45"/>
      <c r="O197" s="45"/>
      <c r="P197" s="45"/>
      <c r="Q197" s="45"/>
      <c r="R197" s="50"/>
      <c r="S197" s="45"/>
      <c r="T197" s="51"/>
      <c r="U197" s="53"/>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ht="12.75" customHeight="1">
      <c r="A198" s="50"/>
      <c r="B198" s="50"/>
      <c r="C198" s="51"/>
      <c r="D198" s="45"/>
      <c r="E198" s="50"/>
      <c r="F198" s="50"/>
      <c r="G198" s="51"/>
      <c r="H198" s="45"/>
      <c r="I198" s="52"/>
      <c r="J198" s="45"/>
      <c r="K198" s="45"/>
      <c r="L198" s="45"/>
      <c r="M198" s="52"/>
      <c r="N198" s="45"/>
      <c r="O198" s="45"/>
      <c r="P198" s="45"/>
      <c r="Q198" s="45"/>
      <c r="R198" s="50"/>
      <c r="S198" s="45"/>
      <c r="T198" s="51"/>
      <c r="U198" s="53"/>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ht="12.75" customHeight="1">
      <c r="A199" s="50"/>
      <c r="B199" s="50"/>
      <c r="C199" s="51"/>
      <c r="D199" s="45"/>
      <c r="E199" s="50"/>
      <c r="F199" s="50"/>
      <c r="G199" s="51"/>
      <c r="H199" s="45"/>
      <c r="I199" s="52"/>
      <c r="J199" s="45"/>
      <c r="K199" s="45"/>
      <c r="L199" s="45"/>
      <c r="M199" s="52"/>
      <c r="N199" s="45"/>
      <c r="O199" s="45"/>
      <c r="P199" s="45"/>
      <c r="Q199" s="45"/>
      <c r="R199" s="50"/>
      <c r="S199" s="45"/>
      <c r="T199" s="51"/>
      <c r="U199" s="53"/>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ht="12.75" customHeight="1">
      <c r="A200" s="50"/>
      <c r="B200" s="50"/>
      <c r="C200" s="51"/>
      <c r="D200" s="45"/>
      <c r="E200" s="50"/>
      <c r="F200" s="50"/>
      <c r="G200" s="51"/>
      <c r="H200" s="45"/>
      <c r="I200" s="52"/>
      <c r="J200" s="45"/>
      <c r="K200" s="45"/>
      <c r="L200" s="45"/>
      <c r="M200" s="52"/>
      <c r="N200" s="45"/>
      <c r="O200" s="45"/>
      <c r="P200" s="45"/>
      <c r="Q200" s="45"/>
      <c r="R200" s="50"/>
      <c r="S200" s="45"/>
      <c r="T200" s="51"/>
      <c r="U200" s="53"/>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ht="12.75" customHeight="1">
      <c r="A201" s="50"/>
      <c r="B201" s="50"/>
      <c r="C201" s="51"/>
      <c r="D201" s="45"/>
      <c r="E201" s="50"/>
      <c r="F201" s="50"/>
      <c r="G201" s="51"/>
      <c r="H201" s="45"/>
      <c r="I201" s="52"/>
      <c r="J201" s="45"/>
      <c r="K201" s="45"/>
      <c r="L201" s="45"/>
      <c r="M201" s="52"/>
      <c r="N201" s="45"/>
      <c r="O201" s="45"/>
      <c r="P201" s="45"/>
      <c r="Q201" s="45"/>
      <c r="R201" s="50"/>
      <c r="S201" s="45"/>
      <c r="T201" s="51"/>
      <c r="U201" s="53"/>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ht="12.75" customHeight="1">
      <c r="A202" s="50"/>
      <c r="B202" s="50"/>
      <c r="C202" s="51"/>
      <c r="D202" s="45"/>
      <c r="E202" s="50"/>
      <c r="F202" s="50"/>
      <c r="G202" s="51"/>
      <c r="H202" s="45"/>
      <c r="I202" s="52"/>
      <c r="J202" s="45"/>
      <c r="K202" s="45"/>
      <c r="L202" s="45"/>
      <c r="M202" s="52"/>
      <c r="N202" s="45"/>
      <c r="O202" s="45"/>
      <c r="P202" s="45"/>
      <c r="Q202" s="45"/>
      <c r="R202" s="50"/>
      <c r="S202" s="45"/>
      <c r="T202" s="51"/>
      <c r="U202" s="53"/>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ht="12.75" customHeight="1">
      <c r="A203" s="50"/>
      <c r="B203" s="50"/>
      <c r="C203" s="51"/>
      <c r="D203" s="45"/>
      <c r="E203" s="50"/>
      <c r="F203" s="50"/>
      <c r="G203" s="51"/>
      <c r="H203" s="45"/>
      <c r="I203" s="52"/>
      <c r="J203" s="45"/>
      <c r="K203" s="45"/>
      <c r="L203" s="45"/>
      <c r="M203" s="52"/>
      <c r="N203" s="45"/>
      <c r="O203" s="45"/>
      <c r="P203" s="45"/>
      <c r="Q203" s="45"/>
      <c r="R203" s="50"/>
      <c r="S203" s="45"/>
      <c r="T203" s="51"/>
      <c r="U203" s="53"/>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ht="12.75" customHeight="1">
      <c r="A204" s="50"/>
      <c r="B204" s="50"/>
      <c r="C204" s="51"/>
      <c r="D204" s="45"/>
      <c r="E204" s="50"/>
      <c r="F204" s="50"/>
      <c r="G204" s="51"/>
      <c r="H204" s="45"/>
      <c r="I204" s="52"/>
      <c r="J204" s="45"/>
      <c r="K204" s="45"/>
      <c r="L204" s="45"/>
      <c r="M204" s="52"/>
      <c r="N204" s="45"/>
      <c r="O204" s="45"/>
      <c r="P204" s="45"/>
      <c r="Q204" s="45"/>
      <c r="R204" s="50"/>
      <c r="S204" s="45"/>
      <c r="T204" s="51"/>
      <c r="U204" s="53"/>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ht="12.75" customHeight="1">
      <c r="A205" s="50"/>
      <c r="B205" s="50"/>
      <c r="C205" s="51"/>
      <c r="D205" s="45"/>
      <c r="E205" s="50"/>
      <c r="F205" s="50"/>
      <c r="G205" s="51"/>
      <c r="H205" s="45"/>
      <c r="I205" s="52"/>
      <c r="J205" s="45"/>
      <c r="K205" s="45"/>
      <c r="L205" s="45"/>
      <c r="M205" s="52"/>
      <c r="N205" s="45"/>
      <c r="O205" s="45"/>
      <c r="P205" s="45"/>
      <c r="Q205" s="45"/>
      <c r="R205" s="50"/>
      <c r="S205" s="45"/>
      <c r="T205" s="51"/>
      <c r="U205" s="53"/>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ht="12.75" customHeight="1">
      <c r="A206" s="50"/>
      <c r="B206" s="50"/>
      <c r="C206" s="51"/>
      <c r="D206" s="45"/>
      <c r="E206" s="50"/>
      <c r="F206" s="50"/>
      <c r="G206" s="51"/>
      <c r="H206" s="45"/>
      <c r="I206" s="52"/>
      <c r="J206" s="45"/>
      <c r="K206" s="45"/>
      <c r="L206" s="45"/>
      <c r="M206" s="52"/>
      <c r="N206" s="45"/>
      <c r="O206" s="45"/>
      <c r="P206" s="45"/>
      <c r="Q206" s="45"/>
      <c r="R206" s="50"/>
      <c r="S206" s="45"/>
      <c r="T206" s="51"/>
      <c r="U206" s="53"/>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ht="12.75" customHeight="1">
      <c r="A207" s="50"/>
      <c r="B207" s="50"/>
      <c r="C207" s="51"/>
      <c r="D207" s="45"/>
      <c r="E207" s="50"/>
      <c r="F207" s="50"/>
      <c r="G207" s="51"/>
      <c r="H207" s="45"/>
      <c r="I207" s="52"/>
      <c r="J207" s="45"/>
      <c r="K207" s="45"/>
      <c r="L207" s="45"/>
      <c r="M207" s="52"/>
      <c r="N207" s="45"/>
      <c r="O207" s="45"/>
      <c r="P207" s="45"/>
      <c r="Q207" s="45"/>
      <c r="R207" s="50"/>
      <c r="S207" s="45"/>
      <c r="T207" s="51"/>
      <c r="U207" s="53"/>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ht="12.75" customHeight="1">
      <c r="A208" s="50"/>
      <c r="B208" s="50"/>
      <c r="C208" s="51"/>
      <c r="D208" s="45"/>
      <c r="E208" s="50"/>
      <c r="F208" s="50"/>
      <c r="G208" s="51"/>
      <c r="H208" s="45"/>
      <c r="I208" s="52"/>
      <c r="J208" s="45"/>
      <c r="K208" s="45"/>
      <c r="L208" s="45"/>
      <c r="M208" s="52"/>
      <c r="N208" s="45"/>
      <c r="O208" s="45"/>
      <c r="P208" s="45"/>
      <c r="Q208" s="45"/>
      <c r="R208" s="50"/>
      <c r="S208" s="45"/>
      <c r="T208" s="51"/>
      <c r="U208" s="53"/>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ht="12.75" customHeight="1">
      <c r="A209" s="50"/>
      <c r="B209" s="50"/>
      <c r="C209" s="51"/>
      <c r="D209" s="45"/>
      <c r="E209" s="50"/>
      <c r="F209" s="50"/>
      <c r="G209" s="51"/>
      <c r="H209" s="45"/>
      <c r="I209" s="52"/>
      <c r="J209" s="45"/>
      <c r="K209" s="45"/>
      <c r="L209" s="45"/>
      <c r="M209" s="52"/>
      <c r="N209" s="45"/>
      <c r="O209" s="45"/>
      <c r="P209" s="45"/>
      <c r="Q209" s="45"/>
      <c r="R209" s="50"/>
      <c r="S209" s="45"/>
      <c r="T209" s="51"/>
      <c r="U209" s="53"/>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ht="12.75" customHeight="1">
      <c r="A210" s="50"/>
      <c r="B210" s="50"/>
      <c r="C210" s="51"/>
      <c r="D210" s="45"/>
      <c r="E210" s="50"/>
      <c r="F210" s="50"/>
      <c r="G210" s="51"/>
      <c r="H210" s="45"/>
      <c r="I210" s="52"/>
      <c r="J210" s="45"/>
      <c r="K210" s="45"/>
      <c r="L210" s="45"/>
      <c r="M210" s="52"/>
      <c r="N210" s="45"/>
      <c r="O210" s="45"/>
      <c r="P210" s="45"/>
      <c r="Q210" s="45"/>
      <c r="R210" s="50"/>
      <c r="S210" s="45"/>
      <c r="T210" s="51"/>
      <c r="U210" s="53"/>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ht="12.75" customHeight="1">
      <c r="A211" s="50"/>
      <c r="B211" s="50"/>
      <c r="C211" s="51"/>
      <c r="D211" s="45"/>
      <c r="E211" s="50"/>
      <c r="F211" s="50"/>
      <c r="G211" s="51"/>
      <c r="H211" s="45"/>
      <c r="I211" s="52"/>
      <c r="J211" s="45"/>
      <c r="K211" s="45"/>
      <c r="L211" s="45"/>
      <c r="M211" s="52"/>
      <c r="N211" s="45"/>
      <c r="O211" s="45"/>
      <c r="P211" s="45"/>
      <c r="Q211" s="45"/>
      <c r="R211" s="50"/>
      <c r="S211" s="45"/>
      <c r="T211" s="51"/>
      <c r="U211" s="53"/>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ht="12.75" customHeight="1">
      <c r="A212" s="50"/>
      <c r="B212" s="50"/>
      <c r="C212" s="51"/>
      <c r="D212" s="45"/>
      <c r="E212" s="50"/>
      <c r="F212" s="50"/>
      <c r="G212" s="51"/>
      <c r="H212" s="45"/>
      <c r="I212" s="52"/>
      <c r="J212" s="45"/>
      <c r="K212" s="45"/>
      <c r="L212" s="45"/>
      <c r="M212" s="52"/>
      <c r="N212" s="45"/>
      <c r="O212" s="45"/>
      <c r="P212" s="45"/>
      <c r="Q212" s="45"/>
      <c r="R212" s="50"/>
      <c r="S212" s="45"/>
      <c r="T212" s="51"/>
      <c r="U212" s="53"/>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ht="12.75" customHeight="1">
      <c r="A213" s="50"/>
      <c r="B213" s="50"/>
      <c r="C213" s="51"/>
      <c r="D213" s="45"/>
      <c r="E213" s="50"/>
      <c r="F213" s="50"/>
      <c r="G213" s="51"/>
      <c r="H213" s="45"/>
      <c r="I213" s="52"/>
      <c r="J213" s="45"/>
      <c r="K213" s="45"/>
      <c r="L213" s="45"/>
      <c r="M213" s="52"/>
      <c r="N213" s="45"/>
      <c r="O213" s="45"/>
      <c r="P213" s="45"/>
      <c r="Q213" s="45"/>
      <c r="R213" s="50"/>
      <c r="S213" s="45"/>
      <c r="T213" s="51"/>
      <c r="U213" s="53"/>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ht="12.75" customHeight="1">
      <c r="A214" s="50"/>
      <c r="B214" s="50"/>
      <c r="C214" s="51"/>
      <c r="D214" s="45"/>
      <c r="E214" s="50"/>
      <c r="F214" s="50"/>
      <c r="G214" s="51"/>
      <c r="H214" s="45"/>
      <c r="I214" s="52"/>
      <c r="J214" s="45"/>
      <c r="K214" s="45"/>
      <c r="L214" s="45"/>
      <c r="M214" s="52"/>
      <c r="N214" s="45"/>
      <c r="O214" s="45"/>
      <c r="P214" s="45"/>
      <c r="Q214" s="45"/>
      <c r="R214" s="50"/>
      <c r="S214" s="45"/>
      <c r="T214" s="51"/>
      <c r="U214" s="53"/>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ht="12.75" customHeight="1">
      <c r="A215" s="50"/>
      <c r="B215" s="50"/>
      <c r="C215" s="51"/>
      <c r="D215" s="45"/>
      <c r="E215" s="50"/>
      <c r="F215" s="50"/>
      <c r="G215" s="51"/>
      <c r="H215" s="45"/>
      <c r="I215" s="52"/>
      <c r="J215" s="45"/>
      <c r="K215" s="45"/>
      <c r="L215" s="45"/>
      <c r="M215" s="52"/>
      <c r="N215" s="45"/>
      <c r="O215" s="45"/>
      <c r="P215" s="45"/>
      <c r="Q215" s="45"/>
      <c r="R215" s="50"/>
      <c r="S215" s="45"/>
      <c r="T215" s="51"/>
      <c r="U215" s="53"/>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ht="12.75" customHeight="1">
      <c r="A216" s="50"/>
      <c r="B216" s="50"/>
      <c r="C216" s="51"/>
      <c r="D216" s="45"/>
      <c r="E216" s="50"/>
      <c r="F216" s="50"/>
      <c r="G216" s="51"/>
      <c r="H216" s="45"/>
      <c r="I216" s="52"/>
      <c r="J216" s="45"/>
      <c r="K216" s="45"/>
      <c r="L216" s="45"/>
      <c r="M216" s="52"/>
      <c r="N216" s="45"/>
      <c r="O216" s="45"/>
      <c r="P216" s="45"/>
      <c r="Q216" s="45"/>
      <c r="R216" s="50"/>
      <c r="S216" s="45"/>
      <c r="T216" s="51"/>
      <c r="U216" s="53"/>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ht="12.75" customHeight="1">
      <c r="A217" s="50"/>
      <c r="B217" s="50"/>
      <c r="C217" s="51"/>
      <c r="D217" s="45"/>
      <c r="E217" s="50"/>
      <c r="F217" s="50"/>
      <c r="G217" s="51"/>
      <c r="H217" s="45"/>
      <c r="I217" s="52"/>
      <c r="J217" s="45"/>
      <c r="K217" s="45"/>
      <c r="L217" s="45"/>
      <c r="M217" s="52"/>
      <c r="N217" s="45"/>
      <c r="O217" s="45"/>
      <c r="P217" s="45"/>
      <c r="Q217" s="45"/>
      <c r="R217" s="50"/>
      <c r="S217" s="45"/>
      <c r="T217" s="51"/>
      <c r="U217" s="53"/>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ht="12.75" customHeight="1">
      <c r="A218" s="50"/>
      <c r="B218" s="50"/>
      <c r="C218" s="51"/>
      <c r="D218" s="45"/>
      <c r="E218" s="50"/>
      <c r="F218" s="50"/>
      <c r="G218" s="51"/>
      <c r="H218" s="45"/>
      <c r="I218" s="52"/>
      <c r="J218" s="45"/>
      <c r="K218" s="45"/>
      <c r="L218" s="45"/>
      <c r="M218" s="52"/>
      <c r="N218" s="45"/>
      <c r="O218" s="45"/>
      <c r="P218" s="45"/>
      <c r="Q218" s="45"/>
      <c r="R218" s="50"/>
      <c r="S218" s="45"/>
      <c r="T218" s="51"/>
      <c r="U218" s="53"/>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ht="12.75" customHeight="1">
      <c r="A219" s="50"/>
      <c r="B219" s="50"/>
      <c r="C219" s="51"/>
      <c r="D219" s="45"/>
      <c r="E219" s="50"/>
      <c r="F219" s="50"/>
      <c r="G219" s="51"/>
      <c r="H219" s="45"/>
      <c r="I219" s="52"/>
      <c r="J219" s="45"/>
      <c r="K219" s="45"/>
      <c r="L219" s="45"/>
      <c r="M219" s="52"/>
      <c r="N219" s="45"/>
      <c r="O219" s="45"/>
      <c r="P219" s="45"/>
      <c r="Q219" s="45"/>
      <c r="R219" s="50"/>
      <c r="S219" s="45"/>
      <c r="T219" s="51"/>
      <c r="U219" s="53"/>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ht="12.75" customHeight="1">
      <c r="A220" s="50"/>
      <c r="B220" s="50"/>
      <c r="C220" s="51"/>
      <c r="D220" s="45"/>
      <c r="E220" s="50"/>
      <c r="F220" s="50"/>
      <c r="G220" s="51"/>
      <c r="H220" s="45"/>
      <c r="I220" s="52"/>
      <c r="J220" s="45"/>
      <c r="K220" s="45"/>
      <c r="L220" s="45"/>
      <c r="M220" s="52"/>
      <c r="N220" s="45"/>
      <c r="O220" s="45"/>
      <c r="P220" s="45"/>
      <c r="Q220" s="45"/>
      <c r="R220" s="50"/>
      <c r="S220" s="45"/>
      <c r="T220" s="51"/>
      <c r="U220" s="53"/>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ht="12.75" customHeight="1">
      <c r="A221" s="50"/>
      <c r="B221" s="50"/>
      <c r="C221" s="51"/>
      <c r="D221" s="45"/>
      <c r="E221" s="50"/>
      <c r="F221" s="50"/>
      <c r="G221" s="51"/>
      <c r="H221" s="45"/>
      <c r="I221" s="52"/>
      <c r="J221" s="45"/>
      <c r="K221" s="45"/>
      <c r="L221" s="45"/>
      <c r="M221" s="52"/>
      <c r="N221" s="45"/>
      <c r="O221" s="45"/>
      <c r="P221" s="45"/>
      <c r="Q221" s="45"/>
      <c r="R221" s="50"/>
      <c r="S221" s="45"/>
      <c r="T221" s="51"/>
      <c r="U221" s="53"/>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ht="12.75" customHeight="1">
      <c r="A222" s="50"/>
      <c r="B222" s="50"/>
      <c r="C222" s="51"/>
      <c r="D222" s="45"/>
      <c r="E222" s="50"/>
      <c r="F222" s="50"/>
      <c r="G222" s="51"/>
      <c r="H222" s="45"/>
      <c r="I222" s="52"/>
      <c r="J222" s="45"/>
      <c r="K222" s="45"/>
      <c r="L222" s="45"/>
      <c r="M222" s="52"/>
      <c r="N222" s="45"/>
      <c r="O222" s="45"/>
      <c r="P222" s="45"/>
      <c r="Q222" s="45"/>
      <c r="R222" s="50"/>
      <c r="S222" s="45"/>
      <c r="T222" s="51"/>
      <c r="U222" s="53"/>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ht="12.75" customHeight="1">
      <c r="A223" s="50"/>
      <c r="B223" s="50"/>
      <c r="C223" s="51"/>
      <c r="D223" s="45"/>
      <c r="E223" s="50"/>
      <c r="F223" s="50"/>
      <c r="G223" s="51"/>
      <c r="H223" s="45"/>
      <c r="I223" s="52"/>
      <c r="J223" s="45"/>
      <c r="K223" s="45"/>
      <c r="L223" s="45"/>
      <c r="M223" s="52"/>
      <c r="N223" s="45"/>
      <c r="O223" s="45"/>
      <c r="P223" s="45"/>
      <c r="Q223" s="45"/>
      <c r="R223" s="50"/>
      <c r="S223" s="45"/>
      <c r="T223" s="51"/>
      <c r="U223" s="53"/>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ht="12.75" customHeight="1">
      <c r="A224" s="50"/>
      <c r="B224" s="50"/>
      <c r="C224" s="51"/>
      <c r="D224" s="45"/>
      <c r="E224" s="50"/>
      <c r="F224" s="50"/>
      <c r="G224" s="51"/>
      <c r="H224" s="45"/>
      <c r="I224" s="52"/>
      <c r="J224" s="45"/>
      <c r="K224" s="45"/>
      <c r="L224" s="45"/>
      <c r="M224" s="52"/>
      <c r="N224" s="45"/>
      <c r="O224" s="45"/>
      <c r="P224" s="45"/>
      <c r="Q224" s="45"/>
      <c r="R224" s="50"/>
      <c r="S224" s="45"/>
      <c r="T224" s="51"/>
      <c r="U224" s="53"/>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ht="12.75" customHeight="1">
      <c r="A225" s="50"/>
      <c r="B225" s="50"/>
      <c r="C225" s="51"/>
      <c r="D225" s="45"/>
      <c r="E225" s="50"/>
      <c r="F225" s="50"/>
      <c r="G225" s="51"/>
      <c r="H225" s="45"/>
      <c r="I225" s="52"/>
      <c r="J225" s="45"/>
      <c r="K225" s="45"/>
      <c r="L225" s="45"/>
      <c r="M225" s="52"/>
      <c r="N225" s="45"/>
      <c r="O225" s="45"/>
      <c r="P225" s="45"/>
      <c r="Q225" s="45"/>
      <c r="R225" s="50"/>
      <c r="S225" s="45"/>
      <c r="T225" s="51"/>
      <c r="U225" s="53"/>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ht="12.75" customHeight="1">
      <c r="A226" s="50"/>
      <c r="B226" s="50"/>
      <c r="C226" s="51"/>
      <c r="D226" s="45"/>
      <c r="E226" s="50"/>
      <c r="F226" s="50"/>
      <c r="G226" s="51"/>
      <c r="H226" s="45"/>
      <c r="I226" s="52"/>
      <c r="J226" s="45"/>
      <c r="K226" s="45"/>
      <c r="L226" s="45"/>
      <c r="M226" s="52"/>
      <c r="N226" s="45"/>
      <c r="O226" s="45"/>
      <c r="P226" s="45"/>
      <c r="Q226" s="45"/>
      <c r="R226" s="50"/>
      <c r="S226" s="45"/>
      <c r="T226" s="51"/>
      <c r="U226" s="53"/>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ht="15.75" customHeight="1"/>
    <row r="228" spans="1:54" ht="15.75" customHeight="1"/>
    <row r="229" spans="1:54" ht="15.75" customHeight="1"/>
    <row r="230" spans="1:54" ht="15.75" customHeight="1"/>
    <row r="231" spans="1:54" ht="15.75" customHeight="1"/>
    <row r="232" spans="1:54" ht="15.75" customHeight="1"/>
    <row r="233" spans="1:54" ht="15.75" customHeight="1"/>
    <row r="234" spans="1:54" ht="15.75" customHeight="1"/>
    <row r="235" spans="1:54" ht="15.75" customHeight="1"/>
    <row r="236" spans="1:54" ht="15.75" customHeight="1"/>
    <row r="237" spans="1:54" ht="15.75" customHeight="1"/>
    <row r="238" spans="1:54" ht="15.75" customHeight="1"/>
    <row r="239" spans="1:54" ht="15.75" customHeight="1"/>
    <row r="240" spans="1:5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BB24">
    <filterColumn colId="1">
      <filters>
        <filter val="Investigación y Publicación"/>
      </filters>
    </filterColumn>
  </autoFilter>
  <mergeCells count="18">
    <mergeCell ref="AJ5:AP5"/>
    <mergeCell ref="AJ6:AM6"/>
    <mergeCell ref="AN6:AP6"/>
    <mergeCell ref="D3:AK3"/>
    <mergeCell ref="AL3:AN3"/>
    <mergeCell ref="A5:J5"/>
    <mergeCell ref="K5:Q5"/>
    <mergeCell ref="R5:AA5"/>
    <mergeCell ref="AB5:AG5"/>
    <mergeCell ref="V6:AA6"/>
    <mergeCell ref="A1:C3"/>
    <mergeCell ref="D1:AK1"/>
    <mergeCell ref="AL1:AN1"/>
    <mergeCell ref="AO1:AP1"/>
    <mergeCell ref="D2:AK2"/>
    <mergeCell ref="AL2:AN2"/>
    <mergeCell ref="AO2:AP2"/>
    <mergeCell ref="AO3:AP3"/>
  </mergeCells>
  <conditionalFormatting sqref="K8:K24 AC8:AC24">
    <cfRule type="cellIs" dxfId="35" priority="1" operator="equal">
      <formula>"Muy Alta"</formula>
    </cfRule>
  </conditionalFormatting>
  <conditionalFormatting sqref="K8:K24 AC8:AC24">
    <cfRule type="cellIs" dxfId="34" priority="2" operator="equal">
      <formula>"Alta"</formula>
    </cfRule>
  </conditionalFormatting>
  <conditionalFormatting sqref="K8:K24 AC8:AC24">
    <cfRule type="cellIs" dxfId="33" priority="3" operator="equal">
      <formula>"Media"</formula>
    </cfRule>
  </conditionalFormatting>
  <conditionalFormatting sqref="K8:K24 AC8:AC24">
    <cfRule type="cellIs" dxfId="32" priority="4" operator="equal">
      <formula>"Baja"</formula>
    </cfRule>
  </conditionalFormatting>
  <conditionalFormatting sqref="K8:K24 AC8:AC24">
    <cfRule type="cellIs" dxfId="31" priority="5" operator="equal">
      <formula>"Muy Baja"</formula>
    </cfRule>
  </conditionalFormatting>
  <conditionalFormatting sqref="N8:N23">
    <cfRule type="containsText" dxfId="30" priority="6" operator="containsText" text="❌">
      <formula>NOT(ISERROR(SEARCH(("❌"),(N8))))</formula>
    </cfRule>
  </conditionalFormatting>
  <conditionalFormatting sqref="O8:O24 AE8:AE24">
    <cfRule type="cellIs" dxfId="29" priority="7" operator="equal">
      <formula>"Catastrófico"</formula>
    </cfRule>
  </conditionalFormatting>
  <conditionalFormatting sqref="O8:O24 AE8:AE24">
    <cfRule type="cellIs" dxfId="28" priority="8" operator="equal">
      <formula>"Mayor"</formula>
    </cfRule>
  </conditionalFormatting>
  <conditionalFormatting sqref="O8:O24 AE8:AE24">
    <cfRule type="cellIs" dxfId="27" priority="9" operator="equal">
      <formula>"Moderado"</formula>
    </cfRule>
  </conditionalFormatting>
  <conditionalFormatting sqref="O8:O24 AE8:AE24">
    <cfRule type="cellIs" dxfId="26" priority="10" operator="equal">
      <formula>"Menor"</formula>
    </cfRule>
  </conditionalFormatting>
  <conditionalFormatting sqref="O8:O24 AE8:AE24">
    <cfRule type="cellIs" dxfId="25" priority="11" operator="equal">
      <formula>"Leve"</formula>
    </cfRule>
  </conditionalFormatting>
  <conditionalFormatting sqref="Q8:Q24 AG8:AG24">
    <cfRule type="cellIs" dxfId="24" priority="12" operator="equal">
      <formula>"Extremo"</formula>
    </cfRule>
  </conditionalFormatting>
  <conditionalFormatting sqref="Q8:Q24 AG8:AG24">
    <cfRule type="cellIs" dxfId="23" priority="13" operator="equal">
      <formula>"Alto"</formula>
    </cfRule>
  </conditionalFormatting>
  <conditionalFormatting sqref="Q8:Q24 AG8:AG24">
    <cfRule type="cellIs" dxfId="22" priority="14" operator="equal">
      <formula>"Moderado"</formula>
    </cfRule>
  </conditionalFormatting>
  <conditionalFormatting sqref="Q8:Q24 AG8:AG24">
    <cfRule type="cellIs" dxfId="21" priority="15" operator="equal">
      <formula>"Bajo"</formula>
    </cfRule>
  </conditionalFormatting>
  <conditionalFormatting sqref="AJ8:AJ20">
    <cfRule type="containsText" dxfId="20" priority="16" operator="containsText" text="NO">
      <formula>NOT(ISERROR(SEARCH(("NO"),(AJ8))))</formula>
    </cfRule>
  </conditionalFormatting>
  <conditionalFormatting sqref="AJ8:AJ20">
    <cfRule type="containsText" dxfId="19" priority="17" operator="containsText" text="SI">
      <formula>NOT(ISERROR(SEARCH(("SI"),(AJ8))))</formula>
    </cfRule>
  </conditionalFormatting>
  <conditionalFormatting sqref="AJ8:AJ20">
    <cfRule type="containsText" dxfId="18" priority="18" operator="containsText" text="NO">
      <formula>NOT(ISERROR(SEARCH(("NO"),(AJ8))))</formula>
    </cfRule>
  </conditionalFormatting>
  <dataValidations count="2">
    <dataValidation type="date" allowBlank="1" showErrorMessage="1" sqref="AL8 AO15 AL10:AL20">
      <formula1>44927</formula1>
      <formula2>45056</formula2>
    </dataValidation>
    <dataValidation type="date" allowBlank="1" showErrorMessage="1" sqref="AL9 AO8:AO14 AO16:AO20">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14:formula1>
            <xm:f>'Anexo 5 Tabla Valor controles'!$D$11:$D$12</xm:f>
          </x14:formula1>
          <xm:sqref>Z8:Z24</xm:sqref>
        </x14:dataValidation>
        <x14:dataValidation type="list" allowBlank="1" showErrorMessage="1">
          <x14:formula1>
            <xm:f>Listas!$K$2:$K$3</xm:f>
          </x14:formula1>
          <xm:sqref>AP8:AP20</xm:sqref>
        </x14:dataValidation>
        <x14:dataValidation type="list" allowBlank="1" showErrorMessage="1">
          <x14:formula1>
            <xm:f>Listas!$F$2:$F$4</xm:f>
          </x14:formula1>
          <xm:sqref>H8:H24</xm:sqref>
        </x14:dataValidation>
        <x14:dataValidation type="list" allowBlank="1" showErrorMessage="1">
          <x14:formula1>
            <xm:f>'Anexo 5 Tabla Valor controles'!$D$9:$D$10</xm:f>
          </x14:formula1>
          <xm:sqref>Y8:Y24</xm:sqref>
        </x14:dataValidation>
        <x14:dataValidation type="list" allowBlank="1" showErrorMessage="1">
          <x14:formula1>
            <xm:f>Listas!$K$2:$K$4</xm:f>
          </x14:formula1>
          <xm:sqref>AJ8:AJ20</xm:sqref>
        </x14:dataValidation>
        <x14:dataValidation type="list" allowBlank="1" showErrorMessage="1">
          <x14:formula1>
            <xm:f>Listas!$M$2:$M$5</xm:f>
          </x14:formula1>
          <xm:sqref>AN8:AN20</xm:sqref>
        </x14:dataValidation>
        <x14:dataValidation type="list" allowBlank="1" showErrorMessage="1">
          <x14:formula1>
            <xm:f>'Anexo 5 Tabla Valor controles'!$D$7:$D$8</xm:f>
          </x14:formula1>
          <xm:sqref>W8:W24</xm:sqref>
        </x14:dataValidation>
        <x14:dataValidation type="list" allowBlank="1" showErrorMessage="1">
          <x14:formula1>
            <xm:f>'Anexo 3 Tabla Impacto'!$F$210:$F$221</xm:f>
          </x14:formula1>
          <xm:sqref>M8:M23 M24:N24</xm:sqref>
        </x14:dataValidation>
        <x14:dataValidation type="list" allowBlank="1" showErrorMessage="1">
          <x14:formula1>
            <xm:f>'Anexo 5 Tabla Valor controles'!$D$4:$D$6</xm:f>
          </x14:formula1>
          <xm:sqref>V8:V24</xm:sqref>
        </x14:dataValidation>
        <x14:dataValidation type="list" allowBlank="1" showErrorMessage="1">
          <x14:formula1>
            <xm:f>Listas!$L$2:$L$5</xm:f>
          </x14:formula1>
          <xm:sqref>AK8:AK20</xm:sqref>
        </x14:dataValidation>
        <x14:dataValidation type="list" allowBlank="1" showErrorMessage="1">
          <x14:formula1>
            <xm:f>Listas!$I$2:$I$8</xm:f>
          </x14:formula1>
          <xm:sqref>I8:I24</xm:sqref>
        </x14:dataValidation>
        <x14:dataValidation type="list" allowBlank="1" showErrorMessage="1">
          <x14:formula1>
            <xm:f>Listas!$C$2:$C$5</xm:f>
          </x14:formula1>
          <xm:sqref>AH8:AH24</xm:sqref>
        </x14:dataValidation>
        <x14:dataValidation type="list" allowBlank="1" showErrorMessage="1">
          <x14:formula1>
            <xm:f>'Anexo 5 Tabla Valor controles'!$D$13:$D$14</xm:f>
          </x14:formula1>
          <xm:sqref>AA8:AA24</xm:sqref>
        </x14:dataValidation>
        <x14:dataValidation type="list" allowBlank="1" showErrorMessage="1">
          <x14:formula1>
            <xm:f>Listas!$G$2:$G$3</xm:f>
          </x14:formula1>
          <xm:sqref>E8:E23</xm:sqref>
        </x14:dataValidation>
        <x14:dataValidation type="list" allowBlank="1" showErrorMessage="1">
          <x14:formula1>
            <xm:f>Listas!$A$2:$A$17</xm:f>
          </x14:formula1>
          <xm:sqref>B8:B24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BB1000"/>
  <sheetViews>
    <sheetView workbookViewId="0"/>
  </sheetViews>
  <sheetFormatPr baseColWidth="10" defaultColWidth="14.42578125" defaultRowHeight="15" customHeight="1"/>
  <cols>
    <col min="1" max="1" width="7.5703125" customWidth="1"/>
    <col min="2" max="2" width="33" customWidth="1"/>
    <col min="3" max="3" width="41.5703125" customWidth="1"/>
    <col min="4" max="4" width="40.28515625" customWidth="1"/>
    <col min="5" max="5" width="17.57031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97.5703125" customWidth="1"/>
    <col min="20" max="20" width="39.285156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0.28515625" customWidth="1"/>
    <col min="37" max="37" width="12.7109375" customWidth="1"/>
    <col min="38" max="39" width="10.28515625" customWidth="1"/>
    <col min="40" max="40" width="12.7109375" customWidth="1"/>
    <col min="41" max="42" width="15.28515625" customWidth="1"/>
    <col min="43" max="43" width="42.28515625" customWidth="1"/>
    <col min="44" max="44" width="33.140625" customWidth="1"/>
    <col min="45" max="54" width="11.42578125" customWidth="1"/>
  </cols>
  <sheetData>
    <row r="1" spans="1:54" ht="19.5" customHeight="1">
      <c r="A1" s="221"/>
      <c r="B1" s="222"/>
      <c r="C1" s="222"/>
      <c r="D1" s="227" t="s">
        <v>0</v>
      </c>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9"/>
      <c r="AL1" s="230" t="s">
        <v>1</v>
      </c>
      <c r="AM1" s="231"/>
      <c r="AN1" s="231"/>
      <c r="AO1" s="249" t="s">
        <v>2</v>
      </c>
      <c r="AP1" s="229"/>
      <c r="AQ1" s="1"/>
      <c r="AR1" s="1"/>
      <c r="AS1" s="1"/>
      <c r="AT1" s="1"/>
      <c r="AU1" s="1"/>
      <c r="AV1" s="1"/>
      <c r="AW1" s="1"/>
      <c r="AX1" s="1"/>
      <c r="AY1" s="1"/>
      <c r="AZ1" s="1"/>
      <c r="BA1" s="1"/>
      <c r="BB1" s="1"/>
    </row>
    <row r="2" spans="1:54" ht="28.5" customHeight="1">
      <c r="A2" s="223"/>
      <c r="B2" s="224"/>
      <c r="C2" s="224"/>
      <c r="D2" s="227" t="s">
        <v>3</v>
      </c>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9"/>
      <c r="AL2" s="230" t="s">
        <v>4</v>
      </c>
      <c r="AM2" s="231"/>
      <c r="AN2" s="231"/>
      <c r="AO2" s="249">
        <v>2</v>
      </c>
      <c r="AP2" s="229"/>
      <c r="AQ2" s="1"/>
      <c r="AR2" s="1"/>
      <c r="AS2" s="1"/>
      <c r="AT2" s="1"/>
      <c r="AU2" s="1"/>
      <c r="AV2" s="1"/>
      <c r="AW2" s="1"/>
      <c r="AX2" s="1"/>
      <c r="AY2" s="1"/>
      <c r="AZ2" s="1"/>
      <c r="BA2" s="1"/>
      <c r="BB2" s="1"/>
    </row>
    <row r="3" spans="1:54" ht="29.25" customHeight="1">
      <c r="A3" s="225"/>
      <c r="B3" s="226"/>
      <c r="C3" s="226"/>
      <c r="D3" s="239" t="s">
        <v>5</v>
      </c>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1"/>
      <c r="AL3" s="227" t="s">
        <v>6</v>
      </c>
      <c r="AM3" s="228"/>
      <c r="AN3" s="228"/>
      <c r="AO3" s="250">
        <v>45673</v>
      </c>
      <c r="AP3" s="229"/>
      <c r="AQ3" s="1"/>
      <c r="AR3" s="1"/>
      <c r="AS3" s="1"/>
      <c r="AT3" s="1"/>
      <c r="AU3" s="1"/>
      <c r="AV3" s="1"/>
      <c r="AW3" s="1"/>
      <c r="AX3" s="1"/>
      <c r="AY3" s="1"/>
      <c r="AZ3" s="1"/>
      <c r="BA3" s="1"/>
      <c r="BB3" s="1"/>
    </row>
    <row r="4" spans="1:54" ht="4.5" customHeight="1">
      <c r="A4" s="48"/>
      <c r="B4" s="48"/>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75" customHeight="1">
      <c r="A5" s="252" t="s">
        <v>7</v>
      </c>
      <c r="B5" s="243"/>
      <c r="C5" s="243"/>
      <c r="D5" s="243"/>
      <c r="E5" s="243"/>
      <c r="F5" s="243"/>
      <c r="G5" s="243"/>
      <c r="H5" s="243"/>
      <c r="I5" s="243"/>
      <c r="J5" s="244"/>
      <c r="K5" s="245" t="s">
        <v>8</v>
      </c>
      <c r="L5" s="243"/>
      <c r="M5" s="243"/>
      <c r="N5" s="243"/>
      <c r="O5" s="243"/>
      <c r="P5" s="243"/>
      <c r="Q5" s="244"/>
      <c r="R5" s="251" t="s">
        <v>9</v>
      </c>
      <c r="S5" s="243"/>
      <c r="T5" s="243"/>
      <c r="U5" s="243"/>
      <c r="V5" s="243"/>
      <c r="W5" s="243"/>
      <c r="X5" s="243"/>
      <c r="Y5" s="243"/>
      <c r="Z5" s="243"/>
      <c r="AA5" s="244"/>
      <c r="AB5" s="247" t="s">
        <v>10</v>
      </c>
      <c r="AC5" s="243"/>
      <c r="AD5" s="243"/>
      <c r="AE5" s="243"/>
      <c r="AF5" s="243"/>
      <c r="AG5" s="244"/>
      <c r="AH5" s="253" t="s">
        <v>11</v>
      </c>
      <c r="AI5" s="254"/>
      <c r="AJ5" s="257" t="s">
        <v>180</v>
      </c>
      <c r="AK5" s="235"/>
      <c r="AL5" s="235"/>
      <c r="AM5" s="235"/>
      <c r="AN5" s="235"/>
      <c r="AO5" s="235"/>
      <c r="AP5" s="235"/>
      <c r="AQ5" s="1"/>
      <c r="AR5" s="1"/>
      <c r="AS5" s="1"/>
      <c r="AT5" s="1"/>
      <c r="AU5" s="1"/>
      <c r="AV5" s="1"/>
      <c r="AW5" s="1"/>
      <c r="AX5" s="1"/>
      <c r="AY5" s="1"/>
      <c r="AZ5" s="1"/>
      <c r="BA5" s="1"/>
      <c r="BB5" s="1"/>
    </row>
    <row r="6" spans="1:54" ht="33.75" customHeight="1">
      <c r="A6" s="8" t="s">
        <v>13</v>
      </c>
      <c r="B6" s="8" t="s">
        <v>14</v>
      </c>
      <c r="C6" s="8" t="s">
        <v>15</v>
      </c>
      <c r="D6" s="8" t="s">
        <v>16</v>
      </c>
      <c r="E6" s="8" t="s">
        <v>17</v>
      </c>
      <c r="F6" s="8" t="s">
        <v>18</v>
      </c>
      <c r="G6" s="8" t="s">
        <v>19</v>
      </c>
      <c r="H6" s="8" t="s">
        <v>20</v>
      </c>
      <c r="I6" s="8" t="s">
        <v>21</v>
      </c>
      <c r="J6" s="8" t="s">
        <v>22</v>
      </c>
      <c r="K6" s="8" t="s">
        <v>23</v>
      </c>
      <c r="L6" s="8" t="s">
        <v>24</v>
      </c>
      <c r="M6" s="8" t="s">
        <v>25</v>
      </c>
      <c r="N6" s="8" t="s">
        <v>26</v>
      </c>
      <c r="O6" s="8" t="s">
        <v>27</v>
      </c>
      <c r="P6" s="8" t="s">
        <v>24</v>
      </c>
      <c r="Q6" s="8" t="s">
        <v>181</v>
      </c>
      <c r="R6" s="9" t="s">
        <v>29</v>
      </c>
      <c r="S6" s="10" t="s">
        <v>30</v>
      </c>
      <c r="T6" s="10" t="s">
        <v>31</v>
      </c>
      <c r="U6" s="10" t="s">
        <v>32</v>
      </c>
      <c r="V6" s="248" t="s">
        <v>33</v>
      </c>
      <c r="W6" s="243"/>
      <c r="X6" s="243"/>
      <c r="Y6" s="243"/>
      <c r="Z6" s="243"/>
      <c r="AA6" s="244"/>
      <c r="AB6" s="11" t="s">
        <v>34</v>
      </c>
      <c r="AC6" s="11" t="s">
        <v>35</v>
      </c>
      <c r="AD6" s="11" t="s">
        <v>24</v>
      </c>
      <c r="AE6" s="11" t="s">
        <v>36</v>
      </c>
      <c r="AF6" s="11" t="s">
        <v>24</v>
      </c>
      <c r="AG6" s="11" t="s">
        <v>37</v>
      </c>
      <c r="AH6" s="255"/>
      <c r="AI6" s="256"/>
      <c r="AJ6" s="236" t="s">
        <v>38</v>
      </c>
      <c r="AK6" s="235"/>
      <c r="AL6" s="235"/>
      <c r="AM6" s="237"/>
      <c r="AN6" s="238" t="s">
        <v>39</v>
      </c>
      <c r="AO6" s="235"/>
      <c r="AP6" s="237"/>
      <c r="AQ6" s="1"/>
      <c r="AR6" s="1"/>
      <c r="AS6" s="1"/>
      <c r="AT6" s="1"/>
      <c r="AU6" s="1"/>
      <c r="AV6" s="1"/>
      <c r="AW6" s="1"/>
      <c r="AX6" s="1"/>
      <c r="AY6" s="1"/>
      <c r="AZ6" s="1"/>
      <c r="BA6" s="1"/>
      <c r="BB6" s="1"/>
    </row>
    <row r="7" spans="1:54" ht="45.75" customHeight="1">
      <c r="A7" s="54"/>
      <c r="B7" s="54"/>
      <c r="C7" s="54"/>
      <c r="D7" s="54"/>
      <c r="E7" s="54"/>
      <c r="F7" s="54"/>
      <c r="G7" s="54"/>
      <c r="H7" s="54"/>
      <c r="I7" s="54"/>
      <c r="J7" s="54"/>
      <c r="K7" s="54"/>
      <c r="L7" s="54"/>
      <c r="M7" s="54"/>
      <c r="N7" s="54"/>
      <c r="O7" s="54"/>
      <c r="P7" s="54"/>
      <c r="Q7" s="54"/>
      <c r="R7" s="55"/>
      <c r="S7" s="56"/>
      <c r="T7" s="56"/>
      <c r="U7" s="56"/>
      <c r="V7" s="17" t="s">
        <v>40</v>
      </c>
      <c r="W7" s="17" t="s">
        <v>41</v>
      </c>
      <c r="X7" s="17" t="s">
        <v>42</v>
      </c>
      <c r="Y7" s="17" t="s">
        <v>43</v>
      </c>
      <c r="Z7" s="17" t="s">
        <v>44</v>
      </c>
      <c r="AA7" s="17" t="s">
        <v>45</v>
      </c>
      <c r="AB7" s="57"/>
      <c r="AC7" s="57"/>
      <c r="AD7" s="57"/>
      <c r="AE7" s="57"/>
      <c r="AF7" s="57"/>
      <c r="AG7" s="57"/>
      <c r="AH7" s="19" t="s">
        <v>46</v>
      </c>
      <c r="AI7" s="19" t="s">
        <v>47</v>
      </c>
      <c r="AJ7" s="20" t="s">
        <v>48</v>
      </c>
      <c r="AK7" s="21" t="s">
        <v>49</v>
      </c>
      <c r="AL7" s="21" t="s">
        <v>50</v>
      </c>
      <c r="AM7" s="21" t="s">
        <v>51</v>
      </c>
      <c r="AN7" s="22" t="s">
        <v>49</v>
      </c>
      <c r="AO7" s="22" t="s">
        <v>50</v>
      </c>
      <c r="AP7" s="22" t="s">
        <v>52</v>
      </c>
      <c r="AQ7" s="3"/>
      <c r="AR7" s="3"/>
      <c r="AS7" s="3"/>
      <c r="AT7" s="3"/>
      <c r="AU7" s="3"/>
      <c r="AV7" s="3"/>
      <c r="AW7" s="3"/>
      <c r="AX7" s="3"/>
      <c r="AY7" s="3"/>
      <c r="AZ7" s="3"/>
      <c r="BA7" s="3"/>
      <c r="BB7" s="3"/>
    </row>
    <row r="8" spans="1:54" ht="228" hidden="1" customHeight="1">
      <c r="A8" s="58" t="s">
        <v>182</v>
      </c>
      <c r="B8" s="59" t="s">
        <v>54</v>
      </c>
      <c r="C8" s="59" t="s">
        <v>55</v>
      </c>
      <c r="D8" s="60" t="s">
        <v>183</v>
      </c>
      <c r="E8" s="61" t="s">
        <v>57</v>
      </c>
      <c r="F8" s="61" t="s">
        <v>184</v>
      </c>
      <c r="G8" s="59" t="s">
        <v>185</v>
      </c>
      <c r="H8" s="61" t="s">
        <v>186</v>
      </c>
      <c r="I8" s="60" t="s">
        <v>176</v>
      </c>
      <c r="J8" s="62">
        <v>5</v>
      </c>
      <c r="K8" s="63" t="str">
        <f t="shared" ref="K8:K13" si="0">IF(J8&lt;=0,"",IF(J8&lt;=2,"Muy Baja",IF(J8&lt;=24,"Baja",IF(J8&lt;=500,"Media",IF(J8&lt;=5000,"Alta","Muy Alta")))))</f>
        <v>Baja</v>
      </c>
      <c r="L8" s="64">
        <f t="shared" ref="L8:L13" si="1">IF(K8="","",IF(K8="Muy Baja",0.2,IF(K8="Baja",0.4,IF(K8="Media",0.6,IF(K8="Alta",0.8,IF(K8="Muy Alta",1,))))))</f>
        <v>0.4</v>
      </c>
      <c r="M8" s="65" t="s">
        <v>62</v>
      </c>
      <c r="N8" s="65"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63"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64">
        <f t="shared" ref="P8:P37" ca="1" si="2">IF(O8="","",IF(O8="Leve",0.2,IF(O8="Menor",0.4,IF(O8="Moderado",0.6,IF(O8="Mayor",0.8,IF(O8="Catastrófico",1,))))))</f>
        <v>0.6</v>
      </c>
      <c r="Q8" s="66" t="str">
        <f t="shared" ref="Q8:Q3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58">
        <v>1</v>
      </c>
      <c r="S8" s="59" t="s">
        <v>187</v>
      </c>
      <c r="T8" s="67" t="s">
        <v>188</v>
      </c>
      <c r="U8" s="58" t="s">
        <v>189</v>
      </c>
      <c r="V8" s="68" t="s">
        <v>65</v>
      </c>
      <c r="W8" s="68" t="s">
        <v>66</v>
      </c>
      <c r="X8" s="69" t="str">
        <f t="shared" ref="X8:X13" si="4">IF(AND(V8="Preventivo",W8="Automático"),"50%",IF(AND(V8="Preventivo",W8="Manual"),"40%",IF(AND(V8="Detectivo",W8="Automático"),"40%",IF(AND(V8="Detectivo",W8="Manual"),"30%",IF(AND(V8="Correctivo",W8="Automático"),"35%",IF(AND(V8="Correctivo",W8="Manual"),"25%",""))))))</f>
        <v>40%</v>
      </c>
      <c r="Y8" s="68" t="s">
        <v>67</v>
      </c>
      <c r="Z8" s="68" t="s">
        <v>68</v>
      </c>
      <c r="AA8" s="68" t="s">
        <v>69</v>
      </c>
      <c r="AB8" s="70">
        <f t="shared" ref="AB8:AB33" si="5">IFERROR(IF(U8="Probabilidad",(L8-(+L8*X8)),IF(U8="Impacto",L8,"")),"")</f>
        <v>0.24</v>
      </c>
      <c r="AC8" s="71" t="str">
        <f t="shared" ref="AC8:AC37" si="6">IFERROR(IF(AB8="","",IF(AB8&lt;=0.2,"Muy Baja",IF(AB8&lt;=0.4,"Baja",IF(AB8&lt;=0.6,"Media",IF(AB8&lt;=0.8,"Alta","Muy Alta"))))),"")</f>
        <v>Baja</v>
      </c>
      <c r="AD8" s="69">
        <f t="shared" ref="AD8:AD37" si="7">+AB8</f>
        <v>0.24</v>
      </c>
      <c r="AE8" s="71" t="str">
        <f t="shared" ref="AE8:AE37" ca="1" si="8">IFERROR(IF(AF8="","",IF(AF8&lt;=0.2,"Leve",IF(AF8&lt;=0.4,"Menor",IF(AF8&lt;=0.6,"Moderado",IF(AF8&lt;=0.8,"Mayor","Catastrófico"))))),"")</f>
        <v>Moderado</v>
      </c>
      <c r="AF8" s="69">
        <f t="shared" ref="AF8:AF37" ca="1" si="9">IFERROR(IF(U8="Impacto",(P8-(+P8*X8)),IF(U8="Probabilidad",P8,"")),"")</f>
        <v>0.6</v>
      </c>
      <c r="AG8" s="72" t="str">
        <f t="shared" ref="AG8:AG3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68" t="s">
        <v>70</v>
      </c>
      <c r="AI8" s="61" t="str">
        <f ca="1">+IF(OR(AG8="Moderado",AG8="bajo"),Listas!$D$2,Listas!$D$3)</f>
        <v>Se puede aceptar el riesgo no es necesario adoptar medidas adicionales que reduzcan su probabilidad e impacto.</v>
      </c>
      <c r="AJ8" s="62"/>
      <c r="AK8" s="73"/>
      <c r="AL8" s="74"/>
      <c r="AM8" s="75"/>
      <c r="AN8" s="73"/>
      <c r="AO8" s="74"/>
      <c r="AP8" s="74"/>
      <c r="AQ8" s="3"/>
      <c r="AR8" s="3"/>
      <c r="AS8" s="3"/>
      <c r="AT8" s="3"/>
      <c r="AU8" s="3"/>
      <c r="AV8" s="3"/>
      <c r="AW8" s="3"/>
      <c r="AX8" s="3"/>
      <c r="AY8" s="3"/>
      <c r="AZ8" s="3"/>
      <c r="BA8" s="3"/>
      <c r="BB8" s="3"/>
    </row>
    <row r="9" spans="1:54" ht="183" hidden="1" customHeight="1">
      <c r="A9" s="58" t="s">
        <v>190</v>
      </c>
      <c r="B9" s="60" t="s">
        <v>72</v>
      </c>
      <c r="C9" s="59" t="s">
        <v>73</v>
      </c>
      <c r="D9" s="60" t="s">
        <v>191</v>
      </c>
      <c r="E9" s="60" t="s">
        <v>84</v>
      </c>
      <c r="F9" s="60" t="s">
        <v>192</v>
      </c>
      <c r="G9" s="59" t="s">
        <v>193</v>
      </c>
      <c r="H9" s="61" t="s">
        <v>186</v>
      </c>
      <c r="I9" s="60" t="s">
        <v>176</v>
      </c>
      <c r="J9" s="61">
        <v>40</v>
      </c>
      <c r="K9" s="63" t="str">
        <f t="shared" si="0"/>
        <v>Media</v>
      </c>
      <c r="L9" s="64">
        <f t="shared" si="1"/>
        <v>0.6</v>
      </c>
      <c r="M9" s="65" t="s">
        <v>194</v>
      </c>
      <c r="N9" s="64" t="str">
        <f ca="1">IF(NOT(ISERROR(MATCH(M9,'Anexo 3 Tabla Impacto'!$B$221:$B$223,0))),'Anexo 3 Tabla Impacto'!$F$223&amp;"Por favor no seleccionar los criterios de impacto(Afectación Económica o presupuestal y Pérdida Reputacional)",M9)</f>
        <v xml:space="preserve">     Entre 50 y 100 SMLMV </v>
      </c>
      <c r="O9" s="63"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64">
        <f t="shared" ca="1" si="2"/>
        <v>0.6</v>
      </c>
      <c r="Q9" s="66" t="str">
        <f t="shared" ca="1" si="3"/>
        <v>Moderado</v>
      </c>
      <c r="R9" s="58">
        <v>2</v>
      </c>
      <c r="S9" s="59" t="s">
        <v>195</v>
      </c>
      <c r="T9" s="59" t="s">
        <v>196</v>
      </c>
      <c r="U9" s="58" t="str">
        <f t="shared" ref="U9:U37" si="11">IF(OR(V9="Preventivo",V9="Detectivo"),"Probabilidad",IF(V9="Correctivo","Impacto",""))</f>
        <v>Probabilidad</v>
      </c>
      <c r="V9" s="68" t="s">
        <v>65</v>
      </c>
      <c r="W9" s="68" t="s">
        <v>66</v>
      </c>
      <c r="X9" s="69" t="str">
        <f t="shared" si="4"/>
        <v>40%</v>
      </c>
      <c r="Y9" s="68" t="s">
        <v>67</v>
      </c>
      <c r="Z9" s="68" t="s">
        <v>68</v>
      </c>
      <c r="AA9" s="68" t="s">
        <v>69</v>
      </c>
      <c r="AB9" s="70">
        <f t="shared" si="5"/>
        <v>0.36</v>
      </c>
      <c r="AC9" s="71" t="str">
        <f t="shared" si="6"/>
        <v>Baja</v>
      </c>
      <c r="AD9" s="69">
        <f t="shared" si="7"/>
        <v>0.36</v>
      </c>
      <c r="AE9" s="71" t="str">
        <f t="shared" ca="1" si="8"/>
        <v>Moderado</v>
      </c>
      <c r="AF9" s="69">
        <f t="shared" ca="1" si="9"/>
        <v>0.6</v>
      </c>
      <c r="AG9" s="72" t="str">
        <f t="shared" ca="1" si="10"/>
        <v>Moderado</v>
      </c>
      <c r="AH9" s="68" t="s">
        <v>70</v>
      </c>
      <c r="AI9" s="61" t="str">
        <f ca="1">+IF(OR(AG9="Moderado",AG9="bajo"),Listas!$D$2,Listas!$D$3)</f>
        <v>Se puede aceptar el riesgo no es necesario adoptar medidas adicionales que reduzcan su probabilidad e impacto.</v>
      </c>
      <c r="AJ9" s="62"/>
      <c r="AK9" s="73"/>
      <c r="AL9" s="74"/>
      <c r="AM9" s="76"/>
      <c r="AN9" s="73"/>
      <c r="AO9" s="74"/>
      <c r="AP9" s="74"/>
      <c r="AQ9" s="1"/>
      <c r="AR9" s="1"/>
      <c r="AS9" s="1"/>
      <c r="AT9" s="1"/>
      <c r="AU9" s="1"/>
      <c r="AV9" s="1"/>
      <c r="AW9" s="1"/>
      <c r="AX9" s="1"/>
      <c r="AY9" s="1"/>
      <c r="AZ9" s="1"/>
      <c r="BA9" s="1"/>
      <c r="BB9" s="1"/>
    </row>
    <row r="10" spans="1:54" ht="151.5" hidden="1" customHeight="1">
      <c r="A10" s="58" t="s">
        <v>197</v>
      </c>
      <c r="B10" s="60" t="s">
        <v>198</v>
      </c>
      <c r="C10" s="59" t="s">
        <v>199</v>
      </c>
      <c r="D10" s="60" t="s">
        <v>200</v>
      </c>
      <c r="E10" s="61" t="s">
        <v>57</v>
      </c>
      <c r="F10" s="60" t="s">
        <v>201</v>
      </c>
      <c r="G10" s="59" t="s">
        <v>202</v>
      </c>
      <c r="H10" s="61" t="s">
        <v>186</v>
      </c>
      <c r="I10" s="60" t="s">
        <v>176</v>
      </c>
      <c r="J10" s="58">
        <v>7</v>
      </c>
      <c r="K10" s="63" t="str">
        <f t="shared" si="0"/>
        <v>Baja</v>
      </c>
      <c r="L10" s="64">
        <f t="shared" si="1"/>
        <v>0.4</v>
      </c>
      <c r="M10" s="65" t="s">
        <v>62</v>
      </c>
      <c r="N10" s="64" t="str">
        <f ca="1">IF(NOT(ISERROR(MATCH(M10,'Anexo 3 Tabla Impacto'!$B$221:$B$223,0))),'Anexo 3 Tabla Impacto'!$F$223&amp;"Por favor no seleccionar los criterios de impacto(Afectación Económica o presupuestal y Pérdida Reputacional)",M10)</f>
        <v xml:space="preserve">     El riesgo afecta la imagen de la entidad con algunos usuarios de relevancia frente al logro de los objetivos</v>
      </c>
      <c r="O10" s="63"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64">
        <f t="shared" ca="1" si="2"/>
        <v>0.6</v>
      </c>
      <c r="Q10" s="66" t="str">
        <f t="shared" ca="1" si="3"/>
        <v>Moderado</v>
      </c>
      <c r="R10" s="58">
        <f t="shared" ref="R10:R13" si="12">+R9+1</f>
        <v>3</v>
      </c>
      <c r="S10" s="25" t="s">
        <v>203</v>
      </c>
      <c r="T10" s="59" t="s">
        <v>204</v>
      </c>
      <c r="U10" s="58" t="str">
        <f t="shared" si="11"/>
        <v>Probabilidad</v>
      </c>
      <c r="V10" s="68" t="s">
        <v>65</v>
      </c>
      <c r="W10" s="68" t="s">
        <v>66</v>
      </c>
      <c r="X10" s="69" t="str">
        <f t="shared" si="4"/>
        <v>40%</v>
      </c>
      <c r="Y10" s="68" t="s">
        <v>67</v>
      </c>
      <c r="Z10" s="68" t="s">
        <v>68</v>
      </c>
      <c r="AA10" s="68" t="s">
        <v>69</v>
      </c>
      <c r="AB10" s="70">
        <f t="shared" si="5"/>
        <v>0.24</v>
      </c>
      <c r="AC10" s="71" t="str">
        <f t="shared" si="6"/>
        <v>Baja</v>
      </c>
      <c r="AD10" s="69">
        <f t="shared" si="7"/>
        <v>0.24</v>
      </c>
      <c r="AE10" s="71" t="str">
        <f t="shared" ca="1" si="8"/>
        <v>Moderado</v>
      </c>
      <c r="AF10" s="69">
        <f t="shared" ca="1" si="9"/>
        <v>0.6</v>
      </c>
      <c r="AG10" s="72" t="str">
        <f t="shared" ca="1" si="10"/>
        <v>Moderado</v>
      </c>
      <c r="AH10" s="68" t="s">
        <v>70</v>
      </c>
      <c r="AI10" s="61" t="str">
        <f ca="1">+IF(OR(AG10="Moderado",AG10="bajo"),Listas!$D$2,Listas!$D$3)</f>
        <v>Se puede aceptar el riesgo no es necesario adoptar medidas adicionales que reduzcan su probabilidad e impacto.</v>
      </c>
      <c r="AJ10" s="62"/>
      <c r="AK10" s="73"/>
      <c r="AL10" s="74"/>
      <c r="AM10" s="75"/>
      <c r="AN10" s="73"/>
      <c r="AO10" s="74"/>
      <c r="AP10" s="74"/>
      <c r="AQ10" s="1"/>
      <c r="AR10" s="1"/>
      <c r="AS10" s="1"/>
      <c r="AT10" s="1"/>
      <c r="AU10" s="1"/>
      <c r="AV10" s="1"/>
      <c r="AW10" s="1"/>
      <c r="AX10" s="1"/>
      <c r="AY10" s="1"/>
      <c r="AZ10" s="1"/>
      <c r="BA10" s="1"/>
      <c r="BB10" s="1"/>
    </row>
    <row r="11" spans="1:54" ht="151.5" hidden="1" customHeight="1">
      <c r="A11" s="58" t="s">
        <v>205</v>
      </c>
      <c r="B11" s="60" t="s">
        <v>198</v>
      </c>
      <c r="C11" s="59" t="s">
        <v>199</v>
      </c>
      <c r="D11" s="60" t="s">
        <v>206</v>
      </c>
      <c r="E11" s="61" t="s">
        <v>57</v>
      </c>
      <c r="F11" s="60" t="s">
        <v>207</v>
      </c>
      <c r="G11" s="59" t="s">
        <v>208</v>
      </c>
      <c r="H11" s="61" t="s">
        <v>186</v>
      </c>
      <c r="I11" s="60" t="s">
        <v>176</v>
      </c>
      <c r="J11" s="58">
        <v>7</v>
      </c>
      <c r="K11" s="63" t="str">
        <f t="shared" si="0"/>
        <v>Baja</v>
      </c>
      <c r="L11" s="64">
        <f t="shared" si="1"/>
        <v>0.4</v>
      </c>
      <c r="M11" s="65" t="s">
        <v>62</v>
      </c>
      <c r="N11" s="64" t="str">
        <f ca="1">IF(NOT(ISERROR(MATCH(M11,'Anexo 3 Tabla Impacto'!$B$221:$B$223,0))),'Anexo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63"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Moderado</v>
      </c>
      <c r="P11" s="64">
        <f t="shared" ca="1" si="2"/>
        <v>0.6</v>
      </c>
      <c r="Q11" s="66" t="str">
        <f t="shared" ca="1" si="3"/>
        <v>Moderado</v>
      </c>
      <c r="R11" s="58">
        <f t="shared" si="12"/>
        <v>4</v>
      </c>
      <c r="S11" s="25" t="s">
        <v>209</v>
      </c>
      <c r="T11" s="59" t="s">
        <v>210</v>
      </c>
      <c r="U11" s="58" t="str">
        <f t="shared" si="11"/>
        <v>Probabilidad</v>
      </c>
      <c r="V11" s="68" t="s">
        <v>65</v>
      </c>
      <c r="W11" s="68" t="s">
        <v>66</v>
      </c>
      <c r="X11" s="69" t="str">
        <f t="shared" si="4"/>
        <v>40%</v>
      </c>
      <c r="Y11" s="68" t="s">
        <v>67</v>
      </c>
      <c r="Z11" s="68" t="s">
        <v>68</v>
      </c>
      <c r="AA11" s="68" t="s">
        <v>69</v>
      </c>
      <c r="AB11" s="70">
        <f t="shared" si="5"/>
        <v>0.24</v>
      </c>
      <c r="AC11" s="71" t="str">
        <f t="shared" si="6"/>
        <v>Baja</v>
      </c>
      <c r="AD11" s="69">
        <f t="shared" si="7"/>
        <v>0.24</v>
      </c>
      <c r="AE11" s="71" t="str">
        <f t="shared" ca="1" si="8"/>
        <v>Moderado</v>
      </c>
      <c r="AF11" s="69">
        <f t="shared" ca="1" si="9"/>
        <v>0.6</v>
      </c>
      <c r="AG11" s="72" t="str">
        <f t="shared" ca="1" si="10"/>
        <v>Moderado</v>
      </c>
      <c r="AH11" s="68" t="s">
        <v>70</v>
      </c>
      <c r="AI11" s="61" t="str">
        <f ca="1">+IF(OR(AG11="Moderado",AG11="bajo"),Listas!$D$2,Listas!$D$3)</f>
        <v>Se puede aceptar el riesgo no es necesario adoptar medidas adicionales que reduzcan su probabilidad e impacto.</v>
      </c>
      <c r="AJ11" s="62"/>
      <c r="AK11" s="73"/>
      <c r="AL11" s="74"/>
      <c r="AM11" s="75"/>
      <c r="AN11" s="73"/>
      <c r="AO11" s="74"/>
      <c r="AP11" s="74"/>
      <c r="AQ11" s="1"/>
      <c r="AR11" s="1"/>
      <c r="AS11" s="1"/>
      <c r="AT11" s="1"/>
      <c r="AU11" s="1"/>
      <c r="AV11" s="1"/>
      <c r="AW11" s="1"/>
      <c r="AX11" s="1"/>
      <c r="AY11" s="1"/>
      <c r="AZ11" s="1"/>
      <c r="BA11" s="1"/>
      <c r="BB11" s="1"/>
    </row>
    <row r="12" spans="1:54" ht="151.5" hidden="1" customHeight="1">
      <c r="A12" s="58" t="s">
        <v>211</v>
      </c>
      <c r="B12" s="60" t="s">
        <v>171</v>
      </c>
      <c r="C12" s="61" t="s">
        <v>172</v>
      </c>
      <c r="D12" s="60" t="s">
        <v>212</v>
      </c>
      <c r="E12" s="61" t="s">
        <v>57</v>
      </c>
      <c r="F12" s="60" t="s">
        <v>213</v>
      </c>
      <c r="G12" s="59" t="s">
        <v>214</v>
      </c>
      <c r="H12" s="61" t="s">
        <v>186</v>
      </c>
      <c r="I12" s="60" t="s">
        <v>176</v>
      </c>
      <c r="J12" s="58">
        <v>1000</v>
      </c>
      <c r="K12" s="63" t="str">
        <f t="shared" si="0"/>
        <v>Alta</v>
      </c>
      <c r="L12" s="64">
        <f t="shared" si="1"/>
        <v>0.8</v>
      </c>
      <c r="M12" s="64" t="s">
        <v>62</v>
      </c>
      <c r="N12" s="64" t="str">
        <f ca="1">IF(NOT(ISERROR(MATCH(M12,ANCHORARRAY(#REF!),0))),L21&amp;"Por favor no seleccionar los criterios de impacto",M12)</f>
        <v xml:space="preserve">     El riesgo afecta la imagen de la entidad con algunos usuarios de relevancia frente al logro de los objetivos</v>
      </c>
      <c r="O12" s="63"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64">
        <f t="shared" ca="1" si="2"/>
        <v>0.6</v>
      </c>
      <c r="Q12" s="66" t="str">
        <f t="shared" ca="1" si="3"/>
        <v>Alto</v>
      </c>
      <c r="R12" s="58">
        <f t="shared" si="12"/>
        <v>5</v>
      </c>
      <c r="S12" s="59" t="s">
        <v>215</v>
      </c>
      <c r="T12" s="59" t="s">
        <v>216</v>
      </c>
      <c r="U12" s="58" t="str">
        <f t="shared" si="11"/>
        <v>Probabilidad</v>
      </c>
      <c r="V12" s="68" t="s">
        <v>65</v>
      </c>
      <c r="W12" s="68" t="s">
        <v>66</v>
      </c>
      <c r="X12" s="69" t="str">
        <f t="shared" si="4"/>
        <v>40%</v>
      </c>
      <c r="Y12" s="68" t="s">
        <v>67</v>
      </c>
      <c r="Z12" s="68" t="s">
        <v>68</v>
      </c>
      <c r="AA12" s="68" t="s">
        <v>69</v>
      </c>
      <c r="AB12" s="70">
        <f t="shared" si="5"/>
        <v>0.48</v>
      </c>
      <c r="AC12" s="71" t="str">
        <f t="shared" si="6"/>
        <v>Media</v>
      </c>
      <c r="AD12" s="69">
        <f t="shared" si="7"/>
        <v>0.48</v>
      </c>
      <c r="AE12" s="71" t="str">
        <f t="shared" ca="1" si="8"/>
        <v>Moderado</v>
      </c>
      <c r="AF12" s="69">
        <f t="shared" ca="1" si="9"/>
        <v>0.6</v>
      </c>
      <c r="AG12" s="72" t="str">
        <f t="shared" ca="1" si="10"/>
        <v>Moderado</v>
      </c>
      <c r="AH12" s="68" t="s">
        <v>70</v>
      </c>
      <c r="AI12" s="61" t="str">
        <f ca="1">+IF(OR(AG12="Moderado",AG12="bajo"),Listas!$D$2,Listas!$D$3)</f>
        <v>Se puede aceptar el riesgo no es necesario adoptar medidas adicionales que reduzcan su probabilidad e impacto.</v>
      </c>
      <c r="AJ12" s="62"/>
      <c r="AK12" s="67"/>
      <c r="AL12" s="74"/>
      <c r="AM12" s="77"/>
      <c r="AN12" s="73"/>
      <c r="AO12" s="74"/>
      <c r="AP12" s="74"/>
      <c r="AQ12" s="78"/>
      <c r="AR12" s="78"/>
      <c r="AS12" s="1"/>
      <c r="AT12" s="1"/>
      <c r="AU12" s="1"/>
      <c r="AV12" s="1"/>
      <c r="AW12" s="1"/>
      <c r="AX12" s="1"/>
      <c r="AY12" s="1"/>
      <c r="AZ12" s="1"/>
      <c r="BA12" s="1"/>
      <c r="BB12" s="1"/>
    </row>
    <row r="13" spans="1:54" ht="151.5" hidden="1" customHeight="1">
      <c r="A13" s="58" t="s">
        <v>217</v>
      </c>
      <c r="B13" s="60" t="s">
        <v>171</v>
      </c>
      <c r="C13" s="61" t="s">
        <v>172</v>
      </c>
      <c r="D13" s="60" t="s">
        <v>218</v>
      </c>
      <c r="E13" s="61" t="s">
        <v>57</v>
      </c>
      <c r="F13" s="60" t="s">
        <v>219</v>
      </c>
      <c r="G13" s="59" t="s">
        <v>220</v>
      </c>
      <c r="H13" s="61" t="s">
        <v>186</v>
      </c>
      <c r="I13" s="60" t="s">
        <v>176</v>
      </c>
      <c r="J13" s="58">
        <v>500</v>
      </c>
      <c r="K13" s="63" t="str">
        <f t="shared" si="0"/>
        <v>Media</v>
      </c>
      <c r="L13" s="64">
        <f t="shared" si="1"/>
        <v>0.6</v>
      </c>
      <c r="M13" s="64" t="s">
        <v>62</v>
      </c>
      <c r="N13" s="64" t="str">
        <f ca="1">IF(NOT(ISERROR(MATCH(M13,ANCHORARRAY(#REF!),0))),#REF!&amp;"Por favor no seleccionar los criterios de impacto",M13)</f>
        <v xml:space="preserve">     El riesgo afecta la imagen de la entidad con algunos usuarios de relevancia frente al logro de los objetivos</v>
      </c>
      <c r="O13" s="63"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64">
        <f t="shared" ca="1" si="2"/>
        <v>0.6</v>
      </c>
      <c r="Q13" s="66" t="str">
        <f t="shared" ca="1" si="3"/>
        <v>Moderado</v>
      </c>
      <c r="R13" s="58">
        <f t="shared" si="12"/>
        <v>6</v>
      </c>
      <c r="S13" s="59" t="s">
        <v>221</v>
      </c>
      <c r="T13" s="59" t="s">
        <v>222</v>
      </c>
      <c r="U13" s="58" t="str">
        <f t="shared" si="11"/>
        <v>Probabilidad</v>
      </c>
      <c r="V13" s="68" t="s">
        <v>65</v>
      </c>
      <c r="W13" s="68" t="s">
        <v>66</v>
      </c>
      <c r="X13" s="69" t="str">
        <f t="shared" si="4"/>
        <v>40%</v>
      </c>
      <c r="Y13" s="68" t="s">
        <v>67</v>
      </c>
      <c r="Z13" s="68" t="s">
        <v>68</v>
      </c>
      <c r="AA13" s="68" t="s">
        <v>69</v>
      </c>
      <c r="AB13" s="70">
        <f t="shared" si="5"/>
        <v>0.36</v>
      </c>
      <c r="AC13" s="71" t="str">
        <f t="shared" si="6"/>
        <v>Baja</v>
      </c>
      <c r="AD13" s="69">
        <f t="shared" si="7"/>
        <v>0.36</v>
      </c>
      <c r="AE13" s="71" t="str">
        <f t="shared" ca="1" si="8"/>
        <v>Moderado</v>
      </c>
      <c r="AF13" s="69">
        <f t="shared" ca="1" si="9"/>
        <v>0.6</v>
      </c>
      <c r="AG13" s="72" t="str">
        <f t="shared" ca="1" si="10"/>
        <v>Moderado</v>
      </c>
      <c r="AH13" s="68" t="s">
        <v>70</v>
      </c>
      <c r="AI13" s="61" t="str">
        <f ca="1">+IF(OR(AG13="Moderado",AG13="bajo"),Listas!$D$2,Listas!$D$3)</f>
        <v>Se puede aceptar el riesgo no es necesario adoptar medidas adicionales que reduzcan su probabilidad e impacto.</v>
      </c>
      <c r="AJ13" s="62"/>
      <c r="AK13" s="67"/>
      <c r="AL13" s="74"/>
      <c r="AM13" s="77"/>
      <c r="AN13" s="73"/>
      <c r="AO13" s="74"/>
      <c r="AP13" s="74"/>
      <c r="AQ13" s="78"/>
      <c r="AR13" s="78"/>
      <c r="AS13" s="1"/>
      <c r="AT13" s="1"/>
      <c r="AU13" s="1"/>
      <c r="AV13" s="1"/>
      <c r="AW13" s="1"/>
      <c r="AX13" s="1"/>
      <c r="AY13" s="1"/>
      <c r="AZ13" s="1"/>
      <c r="BA13" s="1"/>
      <c r="BB13" s="1"/>
    </row>
    <row r="14" spans="1:54" ht="185.25" hidden="1" customHeight="1">
      <c r="A14" s="58" t="s">
        <v>223</v>
      </c>
      <c r="B14" s="59" t="s">
        <v>171</v>
      </c>
      <c r="C14" s="59" t="s">
        <v>172</v>
      </c>
      <c r="D14" s="60" t="s">
        <v>224</v>
      </c>
      <c r="E14" s="61" t="s">
        <v>57</v>
      </c>
      <c r="F14" s="60" t="s">
        <v>225</v>
      </c>
      <c r="G14" s="59" t="s">
        <v>226</v>
      </c>
      <c r="H14" s="61" t="s">
        <v>186</v>
      </c>
      <c r="I14" s="61" t="s">
        <v>176</v>
      </c>
      <c r="J14" s="58">
        <v>1</v>
      </c>
      <c r="K14" s="63" t="s">
        <v>227</v>
      </c>
      <c r="L14" s="64">
        <v>0.4</v>
      </c>
      <c r="M14" s="61" t="s">
        <v>62</v>
      </c>
      <c r="N14" s="61" t="s">
        <v>62</v>
      </c>
      <c r="O14" s="63" t="str">
        <f>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64">
        <f t="shared" si="2"/>
        <v>0.6</v>
      </c>
      <c r="Q14" s="66" t="str">
        <f t="shared" si="3"/>
        <v>Moderado</v>
      </c>
      <c r="R14" s="58">
        <v>7</v>
      </c>
      <c r="S14" s="67" t="s">
        <v>228</v>
      </c>
      <c r="T14" s="59" t="s">
        <v>229</v>
      </c>
      <c r="U14" s="58" t="str">
        <f t="shared" si="11"/>
        <v>Probabilidad</v>
      </c>
      <c r="V14" s="68" t="s">
        <v>65</v>
      </c>
      <c r="W14" s="68" t="s">
        <v>66</v>
      </c>
      <c r="X14" s="69"/>
      <c r="Y14" s="68" t="s">
        <v>230</v>
      </c>
      <c r="Z14" s="68" t="s">
        <v>68</v>
      </c>
      <c r="AA14" s="68" t="s">
        <v>69</v>
      </c>
      <c r="AB14" s="70">
        <f t="shared" si="5"/>
        <v>0.4</v>
      </c>
      <c r="AC14" s="79" t="str">
        <f t="shared" si="6"/>
        <v>Baja</v>
      </c>
      <c r="AD14" s="69">
        <f t="shared" si="7"/>
        <v>0.4</v>
      </c>
      <c r="AE14" s="71" t="str">
        <f t="shared" si="8"/>
        <v>Moderado</v>
      </c>
      <c r="AF14" s="69">
        <f t="shared" si="9"/>
        <v>0.6</v>
      </c>
      <c r="AG14" s="72" t="str">
        <f t="shared" si="10"/>
        <v>Moderado</v>
      </c>
      <c r="AH14" s="68" t="s">
        <v>70</v>
      </c>
      <c r="AI14" s="61" t="s">
        <v>231</v>
      </c>
      <c r="AJ14" s="61"/>
      <c r="AK14" s="80"/>
      <c r="AL14" s="80"/>
      <c r="AM14" s="80"/>
      <c r="AN14" s="80"/>
      <c r="AO14" s="80"/>
      <c r="AP14" s="80"/>
      <c r="AQ14" s="45"/>
      <c r="AR14" s="45"/>
      <c r="AS14" s="45"/>
      <c r="AT14" s="45"/>
      <c r="AU14" s="45"/>
      <c r="AV14" s="45"/>
      <c r="AW14" s="45"/>
      <c r="AX14" s="45"/>
      <c r="AY14" s="45"/>
      <c r="AZ14" s="45"/>
      <c r="BA14" s="45"/>
      <c r="BB14" s="45"/>
    </row>
    <row r="15" spans="1:54" ht="375" hidden="1">
      <c r="A15" s="58" t="s">
        <v>232</v>
      </c>
      <c r="B15" s="60" t="s">
        <v>81</v>
      </c>
      <c r="C15" s="61" t="s">
        <v>233</v>
      </c>
      <c r="D15" s="60" t="s">
        <v>234</v>
      </c>
      <c r="E15" s="61" t="s">
        <v>57</v>
      </c>
      <c r="F15" s="60" t="s">
        <v>235</v>
      </c>
      <c r="G15" s="59" t="s">
        <v>236</v>
      </c>
      <c r="H15" s="61" t="s">
        <v>186</v>
      </c>
      <c r="I15" s="60" t="s">
        <v>176</v>
      </c>
      <c r="J15" s="58">
        <v>8875</v>
      </c>
      <c r="K15" s="63" t="str">
        <f t="shared" ref="K15:K33" si="13">IF(J15&lt;=0,"",IF(J15&lt;=2,"Muy Baja",IF(J15&lt;=24,"Baja",IF(J15&lt;=500,"Media",IF(J15&lt;=5000,"Alta","Muy Alta")))))</f>
        <v>Muy Alta</v>
      </c>
      <c r="L15" s="65">
        <f t="shared" ref="L15:L33" si="14">IF(K15="","",IF(K15="Muy Baja",0.2,IF(K15="Baja",0.4,IF(K15="Media",0.6,IF(K15="Alta",0.8,IF(K15="Muy Alta",1,))))))</f>
        <v>1</v>
      </c>
      <c r="M15" s="64" t="s">
        <v>237</v>
      </c>
      <c r="N15" s="65" t="str">
        <f ca="1">IF(NOT(ISERROR(MATCH(M15,'Anexo 3 Tabla Impacto'!$B$221:$B$223,0))),'Anexo 3 Tabla Impacto'!$F$223&amp;"Por favor no seleccionar los criterios de impacto(Afectación Económica o presupuestal y Pérdida Reputacional)",M15)</f>
        <v xml:space="preserve">     Mayor a 500 SMLMV </v>
      </c>
      <c r="O15" s="63"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Catastrófico</v>
      </c>
      <c r="P15" s="64">
        <f t="shared" ca="1" si="2"/>
        <v>1</v>
      </c>
      <c r="Q15" s="66" t="str">
        <f t="shared" ca="1" si="3"/>
        <v>Extremo</v>
      </c>
      <c r="R15" s="58">
        <v>8</v>
      </c>
      <c r="S15" s="81" t="s">
        <v>238</v>
      </c>
      <c r="T15" s="82" t="s">
        <v>239</v>
      </c>
      <c r="U15" s="58" t="str">
        <f t="shared" si="11"/>
        <v>Probabilidad</v>
      </c>
      <c r="V15" s="68" t="s">
        <v>65</v>
      </c>
      <c r="W15" s="68" t="s">
        <v>66</v>
      </c>
      <c r="X15" s="69" t="str">
        <f t="shared" ref="X15:X37" si="15">IF(AND(V15="Preventivo",W15="Automático"),"50%",IF(AND(V15="Preventivo",W15="Manual"),"40%",IF(AND(V15="Detectivo",W15="Automático"),"40%",IF(AND(V15="Detectivo",W15="Manual"),"30%",IF(AND(V15="Correctivo",W15="Automático"),"35%",IF(AND(V15="Correctivo",W15="Manual"),"25%",""))))))</f>
        <v>40%</v>
      </c>
      <c r="Y15" s="68" t="s">
        <v>67</v>
      </c>
      <c r="Z15" s="68" t="s">
        <v>68</v>
      </c>
      <c r="AA15" s="68" t="s">
        <v>69</v>
      </c>
      <c r="AB15" s="70">
        <f t="shared" si="5"/>
        <v>0.6</v>
      </c>
      <c r="AC15" s="71" t="str">
        <f t="shared" si="6"/>
        <v>Media</v>
      </c>
      <c r="AD15" s="69">
        <f t="shared" si="7"/>
        <v>0.6</v>
      </c>
      <c r="AE15" s="71" t="str">
        <f t="shared" ca="1" si="8"/>
        <v>Catastrófico</v>
      </c>
      <c r="AF15" s="69">
        <f t="shared" ca="1" si="9"/>
        <v>1</v>
      </c>
      <c r="AG15" s="72" t="str">
        <f t="shared" ca="1" si="10"/>
        <v>Extremo</v>
      </c>
      <c r="AH15" s="68" t="s">
        <v>70</v>
      </c>
      <c r="AI15" s="61"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62"/>
      <c r="AK15" s="73"/>
      <c r="AL15" s="74"/>
      <c r="AM15" s="77"/>
      <c r="AN15" s="73"/>
      <c r="AO15" s="74"/>
      <c r="AP15" s="74"/>
      <c r="AQ15" s="1"/>
      <c r="AR15" s="1"/>
      <c r="AS15" s="1"/>
      <c r="AT15" s="1"/>
      <c r="AU15" s="1"/>
      <c r="AV15" s="1"/>
      <c r="AW15" s="1"/>
      <c r="AX15" s="1"/>
      <c r="AY15" s="1"/>
      <c r="AZ15" s="1"/>
      <c r="BA15" s="1"/>
      <c r="BB15" s="1"/>
    </row>
    <row r="16" spans="1:54" ht="261" hidden="1" customHeight="1">
      <c r="A16" s="58" t="s">
        <v>240</v>
      </c>
      <c r="B16" s="60" t="s">
        <v>89</v>
      </c>
      <c r="C16" s="61" t="s">
        <v>90</v>
      </c>
      <c r="D16" s="60" t="s">
        <v>241</v>
      </c>
      <c r="E16" s="61" t="s">
        <v>84</v>
      </c>
      <c r="F16" s="60" t="s">
        <v>242</v>
      </c>
      <c r="G16" s="59" t="s">
        <v>243</v>
      </c>
      <c r="H16" s="61" t="s">
        <v>186</v>
      </c>
      <c r="I16" s="60" t="s">
        <v>176</v>
      </c>
      <c r="J16" s="58">
        <v>25</v>
      </c>
      <c r="K16" s="63" t="str">
        <f t="shared" si="13"/>
        <v>Media</v>
      </c>
      <c r="L16" s="65">
        <f t="shared" si="14"/>
        <v>0.6</v>
      </c>
      <c r="M16" s="64" t="s">
        <v>194</v>
      </c>
      <c r="N16" s="65" t="str">
        <f t="shared" ref="N16:N17" ca="1" si="16">IF(NOT(ISERROR(MATCH(M16,ANCHORARRAY(#REF!),0))),#REF!&amp;"Por favor no seleccionar los criterios de impacto",M16)</f>
        <v xml:space="preserve">     Entre 50 y 100 SMLMV </v>
      </c>
      <c r="O16" s="63"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64">
        <f t="shared" ca="1" si="2"/>
        <v>0.6</v>
      </c>
      <c r="Q16" s="66" t="str">
        <f t="shared" ca="1" si="3"/>
        <v>Moderado</v>
      </c>
      <c r="R16" s="58">
        <f t="shared" ref="R16:R37" si="17">+R15+1</f>
        <v>9</v>
      </c>
      <c r="S16" s="59" t="s">
        <v>244</v>
      </c>
      <c r="T16" s="59" t="s">
        <v>245</v>
      </c>
      <c r="U16" s="58" t="str">
        <f t="shared" si="11"/>
        <v>Probabilidad</v>
      </c>
      <c r="V16" s="68" t="s">
        <v>65</v>
      </c>
      <c r="W16" s="68" t="s">
        <v>66</v>
      </c>
      <c r="X16" s="69" t="str">
        <f t="shared" si="15"/>
        <v>40%</v>
      </c>
      <c r="Y16" s="68" t="s">
        <v>67</v>
      </c>
      <c r="Z16" s="68" t="s">
        <v>68</v>
      </c>
      <c r="AA16" s="68" t="s">
        <v>69</v>
      </c>
      <c r="AB16" s="70">
        <f t="shared" si="5"/>
        <v>0.36</v>
      </c>
      <c r="AC16" s="71" t="str">
        <f t="shared" si="6"/>
        <v>Baja</v>
      </c>
      <c r="AD16" s="69">
        <f t="shared" si="7"/>
        <v>0.36</v>
      </c>
      <c r="AE16" s="71" t="str">
        <f t="shared" ca="1" si="8"/>
        <v>Moderado</v>
      </c>
      <c r="AF16" s="69">
        <f t="shared" ca="1" si="9"/>
        <v>0.6</v>
      </c>
      <c r="AG16" s="72" t="str">
        <f t="shared" ca="1" si="10"/>
        <v>Moderado</v>
      </c>
      <c r="AH16" s="68" t="s">
        <v>70</v>
      </c>
      <c r="AI16" s="61" t="str">
        <f ca="1">+IF(OR(AG16="Moderado",AG16="bajo"),Listas!$D$2,Listas!$D$3)</f>
        <v>Se puede aceptar el riesgo no es necesario adoptar medidas adicionales que reduzcan su probabilidad e impacto.</v>
      </c>
      <c r="AJ16" s="62"/>
      <c r="AK16" s="73"/>
      <c r="AL16" s="74"/>
      <c r="AM16" s="75"/>
      <c r="AN16" s="73"/>
      <c r="AO16" s="74"/>
      <c r="AP16" s="74"/>
      <c r="AQ16" s="1"/>
      <c r="AR16" s="1"/>
      <c r="AS16" s="1"/>
      <c r="AT16" s="1"/>
      <c r="AU16" s="1"/>
      <c r="AV16" s="1"/>
      <c r="AW16" s="1"/>
      <c r="AX16" s="1"/>
      <c r="AY16" s="1"/>
      <c r="AZ16" s="1"/>
      <c r="BA16" s="1"/>
      <c r="BB16" s="1"/>
    </row>
    <row r="17" spans="1:54" ht="143.25" hidden="1" customHeight="1">
      <c r="A17" s="58" t="s">
        <v>246</v>
      </c>
      <c r="B17" s="59" t="s">
        <v>97</v>
      </c>
      <c r="C17" s="61" t="s">
        <v>98</v>
      </c>
      <c r="D17" s="60" t="s">
        <v>247</v>
      </c>
      <c r="E17" s="61" t="s">
        <v>57</v>
      </c>
      <c r="F17" s="60" t="s">
        <v>248</v>
      </c>
      <c r="G17" s="59" t="s">
        <v>161</v>
      </c>
      <c r="H17" s="61" t="s">
        <v>186</v>
      </c>
      <c r="I17" s="60" t="s">
        <v>176</v>
      </c>
      <c r="J17" s="58">
        <v>5</v>
      </c>
      <c r="K17" s="63" t="str">
        <f t="shared" si="13"/>
        <v>Baja</v>
      </c>
      <c r="L17" s="65">
        <f t="shared" si="14"/>
        <v>0.4</v>
      </c>
      <c r="M17" s="64" t="s">
        <v>77</v>
      </c>
      <c r="N17" s="65" t="str">
        <f t="shared" ca="1" si="16"/>
        <v xml:space="preserve">     El riesgo afecta la imagen de de la entidad con efecto publicitario sostenido a nivel de sector administrativo, nivel departamental o municipal</v>
      </c>
      <c r="O17" s="63"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64">
        <f t="shared" ca="1" si="2"/>
        <v>0.8</v>
      </c>
      <c r="Q17" s="66" t="str">
        <f t="shared" ca="1" si="3"/>
        <v>Alto</v>
      </c>
      <c r="R17" s="58">
        <f t="shared" si="17"/>
        <v>10</v>
      </c>
      <c r="S17" s="59" t="s">
        <v>249</v>
      </c>
      <c r="T17" s="59" t="s">
        <v>250</v>
      </c>
      <c r="U17" s="58" t="str">
        <f t="shared" si="11"/>
        <v>Probabilidad</v>
      </c>
      <c r="V17" s="68" t="s">
        <v>65</v>
      </c>
      <c r="W17" s="68" t="s">
        <v>66</v>
      </c>
      <c r="X17" s="69" t="str">
        <f t="shared" si="15"/>
        <v>40%</v>
      </c>
      <c r="Y17" s="68" t="s">
        <v>67</v>
      </c>
      <c r="Z17" s="68" t="s">
        <v>68</v>
      </c>
      <c r="AA17" s="68" t="s">
        <v>69</v>
      </c>
      <c r="AB17" s="70">
        <f t="shared" si="5"/>
        <v>0.24</v>
      </c>
      <c r="AC17" s="71" t="str">
        <f t="shared" si="6"/>
        <v>Baja</v>
      </c>
      <c r="AD17" s="69">
        <f t="shared" si="7"/>
        <v>0.24</v>
      </c>
      <c r="AE17" s="71" t="str">
        <f t="shared" ca="1" si="8"/>
        <v>Mayor</v>
      </c>
      <c r="AF17" s="69">
        <f t="shared" ca="1" si="9"/>
        <v>0.8</v>
      </c>
      <c r="AG17" s="72" t="str">
        <f t="shared" ca="1" si="10"/>
        <v>Alto</v>
      </c>
      <c r="AH17" s="68" t="s">
        <v>70</v>
      </c>
      <c r="AI17" s="61"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62"/>
      <c r="AK17" s="73"/>
      <c r="AL17" s="74"/>
      <c r="AM17" s="83"/>
      <c r="AN17" s="73"/>
      <c r="AO17" s="74"/>
      <c r="AP17" s="74"/>
      <c r="AQ17" s="1"/>
      <c r="AR17" s="1"/>
      <c r="AS17" s="1"/>
      <c r="AT17" s="1"/>
      <c r="AU17" s="1"/>
      <c r="AV17" s="1"/>
      <c r="AW17" s="1"/>
      <c r="AX17" s="1"/>
      <c r="AY17" s="1"/>
      <c r="AZ17" s="1"/>
      <c r="BA17" s="1"/>
      <c r="BB17" s="1"/>
    </row>
    <row r="18" spans="1:54" ht="151.5" hidden="1" customHeight="1">
      <c r="A18" s="58" t="s">
        <v>251</v>
      </c>
      <c r="B18" s="59" t="s">
        <v>104</v>
      </c>
      <c r="C18" s="61" t="s">
        <v>105</v>
      </c>
      <c r="D18" s="60" t="s">
        <v>252</v>
      </c>
      <c r="E18" s="61" t="s">
        <v>57</v>
      </c>
      <c r="F18" s="60" t="s">
        <v>253</v>
      </c>
      <c r="G18" s="59" t="s">
        <v>254</v>
      </c>
      <c r="H18" s="61" t="s">
        <v>186</v>
      </c>
      <c r="I18" s="60" t="s">
        <v>176</v>
      </c>
      <c r="J18" s="58">
        <v>10</v>
      </c>
      <c r="K18" s="63" t="str">
        <f t="shared" si="13"/>
        <v>Baja</v>
      </c>
      <c r="L18" s="65">
        <f t="shared" si="14"/>
        <v>0.4</v>
      </c>
      <c r="M18" s="64" t="s">
        <v>77</v>
      </c>
      <c r="N18" s="84" t="str">
        <f ca="1">IF(NOT(ISERROR(MATCH(M18,ANCHORARRAY(#REF!),0))),L25&amp;"Por favor no seleccionar los criterios de impacto",M18)</f>
        <v xml:space="preserve">     El riesgo afecta la imagen de de la entidad con efecto publicitario sostenido a nivel de sector administrativo, nivel departamental o municipal</v>
      </c>
      <c r="O18" s="63"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64">
        <f t="shared" ca="1" si="2"/>
        <v>0.8</v>
      </c>
      <c r="Q18" s="66" t="str">
        <f t="shared" ca="1" si="3"/>
        <v>Alto</v>
      </c>
      <c r="R18" s="58">
        <f t="shared" si="17"/>
        <v>11</v>
      </c>
      <c r="S18" s="59" t="s">
        <v>255</v>
      </c>
      <c r="T18" s="59" t="s">
        <v>256</v>
      </c>
      <c r="U18" s="58" t="str">
        <f t="shared" si="11"/>
        <v>Probabilidad</v>
      </c>
      <c r="V18" s="68" t="s">
        <v>65</v>
      </c>
      <c r="W18" s="68" t="s">
        <v>66</v>
      </c>
      <c r="X18" s="69" t="str">
        <f t="shared" si="15"/>
        <v>40%</v>
      </c>
      <c r="Y18" s="68" t="s">
        <v>67</v>
      </c>
      <c r="Z18" s="68" t="s">
        <v>68</v>
      </c>
      <c r="AA18" s="68" t="s">
        <v>69</v>
      </c>
      <c r="AB18" s="70">
        <f t="shared" si="5"/>
        <v>0.24</v>
      </c>
      <c r="AC18" s="71" t="str">
        <f t="shared" si="6"/>
        <v>Baja</v>
      </c>
      <c r="AD18" s="69">
        <f t="shared" si="7"/>
        <v>0.24</v>
      </c>
      <c r="AE18" s="71" t="str">
        <f t="shared" ca="1" si="8"/>
        <v>Mayor</v>
      </c>
      <c r="AF18" s="69">
        <f t="shared" ca="1" si="9"/>
        <v>0.8</v>
      </c>
      <c r="AG18" s="72" t="str">
        <f t="shared" ca="1" si="10"/>
        <v>Alto</v>
      </c>
      <c r="AH18" s="68" t="s">
        <v>70</v>
      </c>
      <c r="AI18" s="61"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62"/>
      <c r="AK18" s="73"/>
      <c r="AL18" s="74"/>
      <c r="AM18" s="73"/>
      <c r="AN18" s="73"/>
      <c r="AO18" s="74"/>
      <c r="AP18" s="74"/>
      <c r="AQ18" s="1"/>
      <c r="AR18" s="1"/>
      <c r="AS18" s="1"/>
      <c r="AT18" s="1"/>
      <c r="AU18" s="1"/>
      <c r="AV18" s="1"/>
      <c r="AW18" s="1"/>
      <c r="AX18" s="1"/>
      <c r="AY18" s="1"/>
      <c r="AZ18" s="1"/>
      <c r="BA18" s="1"/>
      <c r="BB18" s="1"/>
    </row>
    <row r="19" spans="1:54" ht="132" hidden="1" customHeight="1">
      <c r="A19" s="58" t="s">
        <v>257</v>
      </c>
      <c r="B19" s="59" t="s">
        <v>111</v>
      </c>
      <c r="C19" s="61" t="s">
        <v>112</v>
      </c>
      <c r="D19" s="60" t="s">
        <v>258</v>
      </c>
      <c r="E19" s="61" t="s">
        <v>57</v>
      </c>
      <c r="F19" s="60" t="s">
        <v>259</v>
      </c>
      <c r="G19" s="59" t="s">
        <v>260</v>
      </c>
      <c r="H19" s="61" t="s">
        <v>186</v>
      </c>
      <c r="I19" s="60" t="s">
        <v>176</v>
      </c>
      <c r="J19" s="58">
        <v>11</v>
      </c>
      <c r="K19" s="63" t="str">
        <f t="shared" si="13"/>
        <v>Baja</v>
      </c>
      <c r="L19" s="65">
        <f t="shared" si="14"/>
        <v>0.4</v>
      </c>
      <c r="M19" s="64" t="s">
        <v>62</v>
      </c>
      <c r="N19" s="64" t="str">
        <f t="shared" ref="N19:N21" ca="1" si="18">IF(NOT(ISERROR(MATCH(M19,ANCHORARRAY(#REF!),0))),L27&amp;"Por favor no seleccionar los criterios de impacto",M19)</f>
        <v xml:space="preserve">     El riesgo afecta la imagen de la entidad con algunos usuarios de relevancia frente al logro de los objetivos</v>
      </c>
      <c r="O19" s="63"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Moderado</v>
      </c>
      <c r="P19" s="64">
        <f t="shared" ca="1" si="2"/>
        <v>0.6</v>
      </c>
      <c r="Q19" s="66" t="str">
        <f t="shared" ca="1" si="3"/>
        <v>Moderado</v>
      </c>
      <c r="R19" s="58">
        <f t="shared" si="17"/>
        <v>12</v>
      </c>
      <c r="S19" s="59" t="s">
        <v>261</v>
      </c>
      <c r="T19" s="59" t="s">
        <v>262</v>
      </c>
      <c r="U19" s="58" t="str">
        <f t="shared" si="11"/>
        <v>Probabilidad</v>
      </c>
      <c r="V19" s="68" t="s">
        <v>65</v>
      </c>
      <c r="W19" s="68" t="s">
        <v>66</v>
      </c>
      <c r="X19" s="69" t="str">
        <f t="shared" si="15"/>
        <v>40%</v>
      </c>
      <c r="Y19" s="68" t="s">
        <v>67</v>
      </c>
      <c r="Z19" s="68" t="s">
        <v>68</v>
      </c>
      <c r="AA19" s="68" t="s">
        <v>69</v>
      </c>
      <c r="AB19" s="70">
        <f t="shared" si="5"/>
        <v>0.24</v>
      </c>
      <c r="AC19" s="71" t="str">
        <f t="shared" si="6"/>
        <v>Baja</v>
      </c>
      <c r="AD19" s="69">
        <f t="shared" si="7"/>
        <v>0.24</v>
      </c>
      <c r="AE19" s="71" t="str">
        <f t="shared" ca="1" si="8"/>
        <v>Moderado</v>
      </c>
      <c r="AF19" s="69">
        <f t="shared" ca="1" si="9"/>
        <v>0.6</v>
      </c>
      <c r="AG19" s="72" t="str">
        <f t="shared" ca="1" si="10"/>
        <v>Moderado</v>
      </c>
      <c r="AH19" s="68" t="s">
        <v>70</v>
      </c>
      <c r="AI19" s="61" t="str">
        <f ca="1">+IF(OR(AG19="Moderado",AG19="bajo"),Listas!$D$2,Listas!$D$3)</f>
        <v>Se puede aceptar el riesgo no es necesario adoptar medidas adicionales que reduzcan su probabilidad e impacto.</v>
      </c>
      <c r="AJ19" s="62"/>
      <c r="AK19" s="73"/>
      <c r="AL19" s="74"/>
      <c r="AM19" s="73"/>
      <c r="AN19" s="73"/>
      <c r="AO19" s="74"/>
      <c r="AP19" s="74"/>
      <c r="AQ19" s="1"/>
      <c r="AR19" s="1"/>
      <c r="AS19" s="1"/>
      <c r="AT19" s="1"/>
      <c r="AU19" s="1"/>
      <c r="AV19" s="1"/>
      <c r="AW19" s="1"/>
      <c r="AX19" s="1"/>
      <c r="AY19" s="1"/>
      <c r="AZ19" s="1"/>
      <c r="BA19" s="1"/>
      <c r="BB19" s="1"/>
    </row>
    <row r="20" spans="1:54" ht="162" hidden="1" customHeight="1">
      <c r="A20" s="58" t="s">
        <v>263</v>
      </c>
      <c r="B20" s="59" t="s">
        <v>111</v>
      </c>
      <c r="C20" s="61" t="s">
        <v>112</v>
      </c>
      <c r="D20" s="60" t="s">
        <v>264</v>
      </c>
      <c r="E20" s="61" t="s">
        <v>57</v>
      </c>
      <c r="F20" s="60" t="s">
        <v>265</v>
      </c>
      <c r="G20" s="59" t="s">
        <v>266</v>
      </c>
      <c r="H20" s="61" t="s">
        <v>186</v>
      </c>
      <c r="I20" s="60" t="s">
        <v>176</v>
      </c>
      <c r="J20" s="58">
        <v>13</v>
      </c>
      <c r="K20" s="63" t="str">
        <f t="shared" si="13"/>
        <v>Baja</v>
      </c>
      <c r="L20" s="65">
        <f t="shared" si="14"/>
        <v>0.4</v>
      </c>
      <c r="M20" s="64" t="s">
        <v>62</v>
      </c>
      <c r="N20" s="64" t="str">
        <f t="shared" ca="1" si="18"/>
        <v xml:space="preserve">     El riesgo afecta la imagen de la entidad con algunos usuarios de relevancia frente al logro de los objetivos</v>
      </c>
      <c r="O20" s="63"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64">
        <f t="shared" ca="1" si="2"/>
        <v>0.6</v>
      </c>
      <c r="Q20" s="66" t="str">
        <f t="shared" ca="1" si="3"/>
        <v>Moderado</v>
      </c>
      <c r="R20" s="58">
        <f t="shared" si="17"/>
        <v>13</v>
      </c>
      <c r="S20" s="59" t="s">
        <v>267</v>
      </c>
      <c r="T20" s="59" t="s">
        <v>268</v>
      </c>
      <c r="U20" s="58" t="str">
        <f t="shared" si="11"/>
        <v>Probabilidad</v>
      </c>
      <c r="V20" s="68" t="s">
        <v>269</v>
      </c>
      <c r="W20" s="68" t="s">
        <v>66</v>
      </c>
      <c r="X20" s="69" t="str">
        <f t="shared" si="15"/>
        <v>30%</v>
      </c>
      <c r="Y20" s="68" t="s">
        <v>67</v>
      </c>
      <c r="Z20" s="68" t="s">
        <v>68</v>
      </c>
      <c r="AA20" s="68" t="s">
        <v>69</v>
      </c>
      <c r="AB20" s="70">
        <f t="shared" si="5"/>
        <v>0.28000000000000003</v>
      </c>
      <c r="AC20" s="71" t="str">
        <f t="shared" si="6"/>
        <v>Baja</v>
      </c>
      <c r="AD20" s="69">
        <f t="shared" si="7"/>
        <v>0.28000000000000003</v>
      </c>
      <c r="AE20" s="71" t="str">
        <f t="shared" ca="1" si="8"/>
        <v>Moderado</v>
      </c>
      <c r="AF20" s="69">
        <f t="shared" ca="1" si="9"/>
        <v>0.6</v>
      </c>
      <c r="AG20" s="72" t="str">
        <f t="shared" ca="1" si="10"/>
        <v>Moderado</v>
      </c>
      <c r="AH20" s="68" t="s">
        <v>70</v>
      </c>
      <c r="AI20" s="61" t="str">
        <f ca="1">+IF(OR(AG20="Moderado",AG20="bajo"),Listas!$D$2,Listas!$D$3)</f>
        <v>Se puede aceptar el riesgo no es necesario adoptar medidas adicionales que reduzcan su probabilidad e impacto.</v>
      </c>
      <c r="AJ20" s="62"/>
      <c r="AK20" s="73"/>
      <c r="AL20" s="74"/>
      <c r="AM20" s="73"/>
      <c r="AN20" s="73"/>
      <c r="AO20" s="74"/>
      <c r="AP20" s="74"/>
      <c r="AQ20" s="1"/>
      <c r="AR20" s="1"/>
      <c r="AS20" s="1"/>
      <c r="AT20" s="1"/>
      <c r="AU20" s="1"/>
      <c r="AV20" s="1"/>
      <c r="AW20" s="1"/>
      <c r="AX20" s="1"/>
      <c r="AY20" s="1"/>
      <c r="AZ20" s="1"/>
      <c r="BA20" s="1"/>
      <c r="BB20" s="1"/>
    </row>
    <row r="21" spans="1:54" ht="111" hidden="1" customHeight="1">
      <c r="A21" s="58" t="s">
        <v>270</v>
      </c>
      <c r="B21" s="59" t="s">
        <v>119</v>
      </c>
      <c r="C21" s="61" t="s">
        <v>120</v>
      </c>
      <c r="D21" s="60" t="s">
        <v>271</v>
      </c>
      <c r="E21" s="61" t="s">
        <v>84</v>
      </c>
      <c r="F21" s="60" t="s">
        <v>272</v>
      </c>
      <c r="G21" s="59" t="s">
        <v>273</v>
      </c>
      <c r="H21" s="61" t="s">
        <v>186</v>
      </c>
      <c r="I21" s="61" t="s">
        <v>176</v>
      </c>
      <c r="J21" s="58">
        <v>250</v>
      </c>
      <c r="K21" s="63" t="str">
        <f t="shared" si="13"/>
        <v>Media</v>
      </c>
      <c r="L21" s="65">
        <f t="shared" si="14"/>
        <v>0.6</v>
      </c>
      <c r="M21" s="64" t="s">
        <v>194</v>
      </c>
      <c r="N21" s="64" t="str">
        <f t="shared" ca="1" si="18"/>
        <v xml:space="preserve">     Entre 50 y 100 SMLMV </v>
      </c>
      <c r="O21" s="63"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Moderado</v>
      </c>
      <c r="P21" s="64">
        <f t="shared" ca="1" si="2"/>
        <v>0.6</v>
      </c>
      <c r="Q21" s="66" t="str">
        <f t="shared" ca="1" si="3"/>
        <v>Moderado</v>
      </c>
      <c r="R21" s="58">
        <f t="shared" si="17"/>
        <v>14</v>
      </c>
      <c r="S21" s="59" t="s">
        <v>274</v>
      </c>
      <c r="T21" s="59" t="s">
        <v>275</v>
      </c>
      <c r="U21" s="58" t="str">
        <f t="shared" si="11"/>
        <v>Probabilidad</v>
      </c>
      <c r="V21" s="68" t="s">
        <v>65</v>
      </c>
      <c r="W21" s="68" t="s">
        <v>66</v>
      </c>
      <c r="X21" s="69" t="str">
        <f t="shared" si="15"/>
        <v>40%</v>
      </c>
      <c r="Y21" s="68" t="s">
        <v>67</v>
      </c>
      <c r="Z21" s="68" t="s">
        <v>68</v>
      </c>
      <c r="AA21" s="68" t="s">
        <v>69</v>
      </c>
      <c r="AB21" s="70">
        <f t="shared" si="5"/>
        <v>0.36</v>
      </c>
      <c r="AC21" s="71" t="str">
        <f t="shared" si="6"/>
        <v>Baja</v>
      </c>
      <c r="AD21" s="69">
        <f t="shared" si="7"/>
        <v>0.36</v>
      </c>
      <c r="AE21" s="71" t="str">
        <f t="shared" ca="1" si="8"/>
        <v>Moderado</v>
      </c>
      <c r="AF21" s="69">
        <f t="shared" ca="1" si="9"/>
        <v>0.6</v>
      </c>
      <c r="AG21" s="72" t="str">
        <f t="shared" ca="1" si="10"/>
        <v>Moderado</v>
      </c>
      <c r="AH21" s="68" t="s">
        <v>70</v>
      </c>
      <c r="AI21" s="61" t="str">
        <f ca="1">+IF(OR(AG21="Moderado",AG21="bajo"),Listas!$D$2,Listas!$D$3)</f>
        <v>Se puede aceptar el riesgo no es necesario adoptar medidas adicionales que reduzcan su probabilidad e impacto.</v>
      </c>
      <c r="AJ21" s="62"/>
      <c r="AK21" s="73"/>
      <c r="AL21" s="74"/>
      <c r="AM21" s="75"/>
      <c r="AN21" s="73"/>
      <c r="AO21" s="74"/>
      <c r="AP21" s="74"/>
      <c r="AQ21" s="1"/>
      <c r="AR21" s="1"/>
      <c r="AS21" s="1"/>
      <c r="AT21" s="1"/>
      <c r="AU21" s="1"/>
      <c r="AV21" s="1"/>
      <c r="AW21" s="1"/>
      <c r="AX21" s="1"/>
      <c r="AY21" s="1"/>
      <c r="AZ21" s="1"/>
      <c r="BA21" s="1"/>
      <c r="BB21" s="1"/>
    </row>
    <row r="22" spans="1:54" ht="126" hidden="1" customHeight="1">
      <c r="A22" s="58" t="s">
        <v>276</v>
      </c>
      <c r="B22" s="59" t="s">
        <v>126</v>
      </c>
      <c r="C22" s="59" t="s">
        <v>127</v>
      </c>
      <c r="D22" s="60" t="s">
        <v>277</v>
      </c>
      <c r="E22" s="61" t="s">
        <v>57</v>
      </c>
      <c r="F22" s="60" t="s">
        <v>278</v>
      </c>
      <c r="G22" s="59" t="s">
        <v>279</v>
      </c>
      <c r="H22" s="61" t="s">
        <v>186</v>
      </c>
      <c r="I22" s="61" t="s">
        <v>280</v>
      </c>
      <c r="J22" s="58">
        <v>365</v>
      </c>
      <c r="K22" s="63" t="str">
        <f t="shared" si="13"/>
        <v>Media</v>
      </c>
      <c r="L22" s="65">
        <f t="shared" si="14"/>
        <v>0.6</v>
      </c>
      <c r="M22" s="64" t="s">
        <v>281</v>
      </c>
      <c r="N22" s="64" t="str">
        <f ca="1">IF(NOT(ISERROR(MATCH(M22,ANCHORARRAY(#REF!),0))),L31&amp;"Por favor no seleccionar los criterios de impacto",M22)</f>
        <v xml:space="preserve">     El riesgo afecta la imagen de la entidad internamente, de conocimiento general, nivel interno, de junta dircetiva y accionistas y/o de provedores</v>
      </c>
      <c r="O22" s="63"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Menor</v>
      </c>
      <c r="P22" s="64">
        <f t="shared" ca="1" si="2"/>
        <v>0.4</v>
      </c>
      <c r="Q22" s="66" t="str">
        <f t="shared" ca="1" si="3"/>
        <v>Moderado</v>
      </c>
      <c r="R22" s="58">
        <f t="shared" si="17"/>
        <v>15</v>
      </c>
      <c r="S22" s="59" t="s">
        <v>282</v>
      </c>
      <c r="T22" s="59" t="s">
        <v>283</v>
      </c>
      <c r="U22" s="58" t="str">
        <f t="shared" si="11"/>
        <v>Probabilidad</v>
      </c>
      <c r="V22" s="68" t="s">
        <v>65</v>
      </c>
      <c r="W22" s="68" t="s">
        <v>66</v>
      </c>
      <c r="X22" s="69" t="str">
        <f t="shared" si="15"/>
        <v>40%</v>
      </c>
      <c r="Y22" s="68" t="s">
        <v>67</v>
      </c>
      <c r="Z22" s="68" t="s">
        <v>68</v>
      </c>
      <c r="AA22" s="68" t="s">
        <v>69</v>
      </c>
      <c r="AB22" s="70">
        <f t="shared" si="5"/>
        <v>0.36</v>
      </c>
      <c r="AC22" s="71" t="str">
        <f t="shared" si="6"/>
        <v>Baja</v>
      </c>
      <c r="AD22" s="69">
        <f t="shared" si="7"/>
        <v>0.36</v>
      </c>
      <c r="AE22" s="71" t="str">
        <f t="shared" ca="1" si="8"/>
        <v>Menor</v>
      </c>
      <c r="AF22" s="69">
        <f t="shared" ca="1" si="9"/>
        <v>0.4</v>
      </c>
      <c r="AG22" s="72" t="str">
        <f t="shared" ca="1" si="10"/>
        <v>Moderado</v>
      </c>
      <c r="AH22" s="68" t="s">
        <v>70</v>
      </c>
      <c r="AI22" s="61" t="str">
        <f ca="1">+IF(OR(AG22="Moderado",AG22="bajo"),Listas!$D$2,Listas!$D$3)</f>
        <v>Se puede aceptar el riesgo no es necesario adoptar medidas adicionales que reduzcan su probabilidad e impacto.</v>
      </c>
      <c r="AJ22" s="62"/>
      <c r="AK22" s="73"/>
      <c r="AL22" s="74"/>
      <c r="AM22" s="75"/>
      <c r="AN22" s="73"/>
      <c r="AO22" s="74"/>
      <c r="AP22" s="74"/>
      <c r="AQ22" s="1"/>
      <c r="AR22" s="1"/>
      <c r="AS22" s="1"/>
      <c r="AT22" s="1"/>
      <c r="AU22" s="1"/>
      <c r="AV22" s="1"/>
      <c r="AW22" s="1"/>
      <c r="AX22" s="1"/>
      <c r="AY22" s="1"/>
      <c r="AZ22" s="1"/>
      <c r="BA22" s="1"/>
      <c r="BB22" s="1"/>
    </row>
    <row r="23" spans="1:54" ht="151.5" hidden="1" customHeight="1">
      <c r="A23" s="58" t="s">
        <v>284</v>
      </c>
      <c r="B23" s="59" t="s">
        <v>126</v>
      </c>
      <c r="C23" s="59" t="s">
        <v>127</v>
      </c>
      <c r="D23" s="60" t="s">
        <v>285</v>
      </c>
      <c r="E23" s="61" t="s">
        <v>57</v>
      </c>
      <c r="F23" s="60" t="s">
        <v>286</v>
      </c>
      <c r="G23" s="59" t="s">
        <v>287</v>
      </c>
      <c r="H23" s="61" t="s">
        <v>186</v>
      </c>
      <c r="I23" s="61" t="s">
        <v>280</v>
      </c>
      <c r="J23" s="58">
        <v>365</v>
      </c>
      <c r="K23" s="63" t="str">
        <f t="shared" si="13"/>
        <v>Media</v>
      </c>
      <c r="L23" s="65">
        <f t="shared" si="14"/>
        <v>0.6</v>
      </c>
      <c r="M23" s="64" t="s">
        <v>281</v>
      </c>
      <c r="N23" s="64" t="str">
        <f ca="1">IF(NOT(ISERROR(MATCH(M23,ANCHORARRAY(#REF!),0))),#REF!&amp;"Por favor no seleccionar los criterios de impacto",M23)</f>
        <v xml:space="preserve">     El riesgo afecta la imagen de la entidad internamente, de conocimiento general, nivel interno, de junta dircetiva y accionistas y/o de provedores</v>
      </c>
      <c r="O23" s="63"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Menor</v>
      </c>
      <c r="P23" s="64">
        <f t="shared" ca="1" si="2"/>
        <v>0.4</v>
      </c>
      <c r="Q23" s="66" t="str">
        <f t="shared" ca="1" si="3"/>
        <v>Moderado</v>
      </c>
      <c r="R23" s="58">
        <f t="shared" si="17"/>
        <v>16</v>
      </c>
      <c r="S23" s="59" t="s">
        <v>288</v>
      </c>
      <c r="T23" s="59" t="s">
        <v>289</v>
      </c>
      <c r="U23" s="58" t="str">
        <f t="shared" si="11"/>
        <v>Probabilidad</v>
      </c>
      <c r="V23" s="68" t="s">
        <v>65</v>
      </c>
      <c r="W23" s="68" t="s">
        <v>66</v>
      </c>
      <c r="X23" s="69" t="str">
        <f t="shared" si="15"/>
        <v>40%</v>
      </c>
      <c r="Y23" s="68" t="s">
        <v>67</v>
      </c>
      <c r="Z23" s="68" t="s">
        <v>68</v>
      </c>
      <c r="AA23" s="68" t="s">
        <v>69</v>
      </c>
      <c r="AB23" s="70">
        <f t="shared" si="5"/>
        <v>0.36</v>
      </c>
      <c r="AC23" s="71" t="str">
        <f t="shared" si="6"/>
        <v>Baja</v>
      </c>
      <c r="AD23" s="69">
        <f t="shared" si="7"/>
        <v>0.36</v>
      </c>
      <c r="AE23" s="71" t="str">
        <f t="shared" ca="1" si="8"/>
        <v>Menor</v>
      </c>
      <c r="AF23" s="69">
        <f t="shared" ca="1" si="9"/>
        <v>0.4</v>
      </c>
      <c r="AG23" s="72" t="str">
        <f t="shared" ca="1" si="10"/>
        <v>Moderado</v>
      </c>
      <c r="AH23" s="68" t="s">
        <v>70</v>
      </c>
      <c r="AI23" s="61" t="str">
        <f ca="1">+IF(OR(AG23="Moderado",AG23="bajo"),Listas!$D$2,Listas!$D$3)</f>
        <v>Se puede aceptar el riesgo no es necesario adoptar medidas adicionales que reduzcan su probabilidad e impacto.</v>
      </c>
      <c r="AJ23" s="62"/>
      <c r="AK23" s="73"/>
      <c r="AL23" s="74"/>
      <c r="AM23" s="75"/>
      <c r="AN23" s="73"/>
      <c r="AO23" s="74"/>
      <c r="AP23" s="74"/>
      <c r="AQ23" s="1"/>
      <c r="AR23" s="1"/>
      <c r="AS23" s="1"/>
      <c r="AT23" s="1"/>
      <c r="AU23" s="1"/>
      <c r="AV23" s="1"/>
      <c r="AW23" s="1"/>
      <c r="AX23" s="1"/>
      <c r="AY23" s="1"/>
      <c r="AZ23" s="1"/>
      <c r="BA23" s="1"/>
      <c r="BB23" s="1"/>
    </row>
    <row r="24" spans="1:54" ht="171.75" hidden="1" customHeight="1">
      <c r="A24" s="58" t="s">
        <v>290</v>
      </c>
      <c r="B24" s="59" t="s">
        <v>132</v>
      </c>
      <c r="C24" s="61" t="s">
        <v>133</v>
      </c>
      <c r="D24" s="60" t="s">
        <v>291</v>
      </c>
      <c r="E24" s="61" t="s">
        <v>57</v>
      </c>
      <c r="F24" s="60" t="s">
        <v>292</v>
      </c>
      <c r="G24" s="59" t="s">
        <v>293</v>
      </c>
      <c r="H24" s="61" t="s">
        <v>186</v>
      </c>
      <c r="I24" s="61" t="s">
        <v>176</v>
      </c>
      <c r="J24" s="85">
        <v>9000</v>
      </c>
      <c r="K24" s="63" t="str">
        <f t="shared" si="13"/>
        <v>Muy Alta</v>
      </c>
      <c r="L24" s="65">
        <f t="shared" si="14"/>
        <v>1</v>
      </c>
      <c r="M24" s="64" t="s">
        <v>77</v>
      </c>
      <c r="N24" s="64" t="str">
        <f ca="1">IF(NOT(ISERROR(MATCH(M24,ANCHORARRAY(#REF!),0))),L33&amp;"Por favor no seleccionar los criterios de impacto",M24)</f>
        <v xml:space="preserve">     El riesgo afecta la imagen de de la entidad con efecto publicitario sostenido a nivel de sector administrativo, nivel departamental o municipal</v>
      </c>
      <c r="O24" s="63"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Mayor</v>
      </c>
      <c r="P24" s="64">
        <f t="shared" ca="1" si="2"/>
        <v>0.8</v>
      </c>
      <c r="Q24" s="66" t="str">
        <f t="shared" ca="1" si="3"/>
        <v>Alto</v>
      </c>
      <c r="R24" s="58">
        <f t="shared" si="17"/>
        <v>17</v>
      </c>
      <c r="S24" s="59" t="s">
        <v>294</v>
      </c>
      <c r="T24" s="59" t="s">
        <v>295</v>
      </c>
      <c r="U24" s="58" t="str">
        <f t="shared" si="11"/>
        <v>Probabilidad</v>
      </c>
      <c r="V24" s="68" t="s">
        <v>65</v>
      </c>
      <c r="W24" s="68" t="s">
        <v>66</v>
      </c>
      <c r="X24" s="69" t="str">
        <f t="shared" si="15"/>
        <v>40%</v>
      </c>
      <c r="Y24" s="68" t="s">
        <v>67</v>
      </c>
      <c r="Z24" s="68" t="s">
        <v>68</v>
      </c>
      <c r="AA24" s="68" t="s">
        <v>69</v>
      </c>
      <c r="AB24" s="70">
        <f t="shared" si="5"/>
        <v>0.6</v>
      </c>
      <c r="AC24" s="71" t="str">
        <f t="shared" si="6"/>
        <v>Media</v>
      </c>
      <c r="AD24" s="69">
        <f t="shared" si="7"/>
        <v>0.6</v>
      </c>
      <c r="AE24" s="71" t="str">
        <f t="shared" ca="1" si="8"/>
        <v>Mayor</v>
      </c>
      <c r="AF24" s="69">
        <f t="shared" ca="1" si="9"/>
        <v>0.8</v>
      </c>
      <c r="AG24" s="72" t="str">
        <f t="shared" ca="1" si="10"/>
        <v>Alto</v>
      </c>
      <c r="AH24" s="68" t="s">
        <v>70</v>
      </c>
      <c r="AI24" s="61"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62"/>
      <c r="AK24" s="73"/>
      <c r="AL24" s="74"/>
      <c r="AM24" s="75"/>
      <c r="AN24" s="73"/>
      <c r="AO24" s="74"/>
      <c r="AP24" s="74"/>
      <c r="AQ24" s="1"/>
      <c r="AR24" s="1"/>
      <c r="AS24" s="1"/>
      <c r="AT24" s="1"/>
      <c r="AU24" s="1"/>
      <c r="AV24" s="1"/>
      <c r="AW24" s="1"/>
      <c r="AX24" s="1"/>
      <c r="AY24" s="1"/>
      <c r="AZ24" s="1"/>
      <c r="BA24" s="1"/>
      <c r="BB24" s="1"/>
    </row>
    <row r="25" spans="1:54" ht="135.75" hidden="1" customHeight="1">
      <c r="A25" s="58" t="s">
        <v>296</v>
      </c>
      <c r="B25" s="59" t="s">
        <v>138</v>
      </c>
      <c r="C25" s="61" t="s">
        <v>297</v>
      </c>
      <c r="D25" s="60" t="s">
        <v>298</v>
      </c>
      <c r="E25" s="61" t="s">
        <v>57</v>
      </c>
      <c r="F25" s="60" t="s">
        <v>299</v>
      </c>
      <c r="G25" s="59" t="s">
        <v>300</v>
      </c>
      <c r="H25" s="61" t="s">
        <v>186</v>
      </c>
      <c r="I25" s="61" t="s">
        <v>176</v>
      </c>
      <c r="J25" s="58">
        <v>1</v>
      </c>
      <c r="K25" s="63" t="str">
        <f t="shared" si="13"/>
        <v>Muy Baja</v>
      </c>
      <c r="L25" s="64">
        <f t="shared" si="14"/>
        <v>0.2</v>
      </c>
      <c r="M25" s="64" t="s">
        <v>62</v>
      </c>
      <c r="N25" s="64" t="str">
        <f ca="1">IF(NOT(ISERROR(MATCH(M25,'Anexo 3 Tabla Impacto'!$B$221:$B$223,0))),'Anexo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63"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64">
        <f t="shared" ca="1" si="2"/>
        <v>0.6</v>
      </c>
      <c r="Q25" s="66" t="str">
        <f t="shared" ca="1" si="3"/>
        <v>Moderado</v>
      </c>
      <c r="R25" s="58">
        <f t="shared" si="17"/>
        <v>18</v>
      </c>
      <c r="S25" s="59" t="s">
        <v>301</v>
      </c>
      <c r="T25" s="59" t="s">
        <v>302</v>
      </c>
      <c r="U25" s="58" t="str">
        <f t="shared" si="11"/>
        <v>Probabilidad</v>
      </c>
      <c r="V25" s="68" t="s">
        <v>65</v>
      </c>
      <c r="W25" s="68" t="s">
        <v>66</v>
      </c>
      <c r="X25" s="69" t="str">
        <f t="shared" si="15"/>
        <v>40%</v>
      </c>
      <c r="Y25" s="68" t="s">
        <v>67</v>
      </c>
      <c r="Z25" s="68" t="s">
        <v>68</v>
      </c>
      <c r="AA25" s="68" t="s">
        <v>69</v>
      </c>
      <c r="AB25" s="70">
        <f t="shared" si="5"/>
        <v>0.12</v>
      </c>
      <c r="AC25" s="71" t="str">
        <f t="shared" si="6"/>
        <v>Muy Baja</v>
      </c>
      <c r="AD25" s="69">
        <f t="shared" si="7"/>
        <v>0.12</v>
      </c>
      <c r="AE25" s="71" t="str">
        <f t="shared" ca="1" si="8"/>
        <v>Moderado</v>
      </c>
      <c r="AF25" s="69">
        <f t="shared" ca="1" si="9"/>
        <v>0.6</v>
      </c>
      <c r="AG25" s="72" t="str">
        <f t="shared" ca="1" si="10"/>
        <v>Moderado</v>
      </c>
      <c r="AH25" s="68" t="s">
        <v>70</v>
      </c>
      <c r="AI25" s="61" t="str">
        <f ca="1">+IF(OR(AG25="Moderado",AG25="bajo"),Listas!$D$2,Listas!$D$3)</f>
        <v>Se puede aceptar el riesgo no es necesario adoptar medidas adicionales que reduzcan su probabilidad e impacto.</v>
      </c>
      <c r="AJ25" s="62"/>
      <c r="AK25" s="73"/>
      <c r="AL25" s="74"/>
      <c r="AM25" s="86"/>
      <c r="AN25" s="73"/>
      <c r="AO25" s="74"/>
      <c r="AP25" s="74"/>
      <c r="AQ25" s="1"/>
      <c r="AR25" s="1"/>
      <c r="AS25" s="1"/>
      <c r="AT25" s="1"/>
      <c r="AU25" s="1"/>
      <c r="AV25" s="1"/>
      <c r="AW25" s="1"/>
      <c r="AX25" s="1"/>
      <c r="AY25" s="1"/>
      <c r="AZ25" s="1"/>
      <c r="BA25" s="1"/>
      <c r="BB25" s="1"/>
    </row>
    <row r="26" spans="1:54" ht="151.5" hidden="1" customHeight="1">
      <c r="A26" s="58" t="s">
        <v>303</v>
      </c>
      <c r="B26" s="59" t="s">
        <v>138</v>
      </c>
      <c r="C26" s="61" t="s">
        <v>139</v>
      </c>
      <c r="D26" s="60" t="s">
        <v>304</v>
      </c>
      <c r="E26" s="61" t="s">
        <v>57</v>
      </c>
      <c r="F26" s="60" t="s">
        <v>305</v>
      </c>
      <c r="G26" s="59" t="s">
        <v>306</v>
      </c>
      <c r="H26" s="61" t="s">
        <v>186</v>
      </c>
      <c r="I26" s="61" t="s">
        <v>176</v>
      </c>
      <c r="J26" s="58">
        <v>12</v>
      </c>
      <c r="K26" s="63" t="str">
        <f t="shared" si="13"/>
        <v>Baja</v>
      </c>
      <c r="L26" s="64">
        <f t="shared" si="14"/>
        <v>0.4</v>
      </c>
      <c r="M26" s="64" t="s">
        <v>62</v>
      </c>
      <c r="N26" s="64" t="str">
        <f t="shared" ref="N26:N29" ca="1" si="19">IF(NOT(ISERROR(MATCH(M26,ANCHORARRAY(#REF!),0))),#REF!&amp;"Por favor no seleccionar los criterios de impacto",M26)</f>
        <v xml:space="preserve">     El riesgo afecta la imagen de la entidad con algunos usuarios de relevancia frente al logro de los objetivos</v>
      </c>
      <c r="O26" s="63"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64">
        <f t="shared" ca="1" si="2"/>
        <v>0.6</v>
      </c>
      <c r="Q26" s="66" t="str">
        <f t="shared" ca="1" si="3"/>
        <v>Moderado</v>
      </c>
      <c r="R26" s="58">
        <f t="shared" si="17"/>
        <v>19</v>
      </c>
      <c r="S26" s="59" t="s">
        <v>307</v>
      </c>
      <c r="T26" s="59" t="s">
        <v>308</v>
      </c>
      <c r="U26" s="58" t="str">
        <f t="shared" si="11"/>
        <v>Probabilidad</v>
      </c>
      <c r="V26" s="68" t="s">
        <v>65</v>
      </c>
      <c r="W26" s="68" t="s">
        <v>66</v>
      </c>
      <c r="X26" s="69" t="str">
        <f t="shared" si="15"/>
        <v>40%</v>
      </c>
      <c r="Y26" s="68" t="s">
        <v>67</v>
      </c>
      <c r="Z26" s="68" t="s">
        <v>68</v>
      </c>
      <c r="AA26" s="68" t="s">
        <v>69</v>
      </c>
      <c r="AB26" s="70">
        <f t="shared" si="5"/>
        <v>0.24</v>
      </c>
      <c r="AC26" s="71" t="str">
        <f t="shared" si="6"/>
        <v>Baja</v>
      </c>
      <c r="AD26" s="69">
        <f t="shared" si="7"/>
        <v>0.24</v>
      </c>
      <c r="AE26" s="71" t="str">
        <f t="shared" ca="1" si="8"/>
        <v>Moderado</v>
      </c>
      <c r="AF26" s="69">
        <f t="shared" ca="1" si="9"/>
        <v>0.6</v>
      </c>
      <c r="AG26" s="72" t="str">
        <f t="shared" ca="1" si="10"/>
        <v>Moderado</v>
      </c>
      <c r="AH26" s="68" t="s">
        <v>70</v>
      </c>
      <c r="AI26" s="61" t="str">
        <f ca="1">+IF(OR(AG26="Moderado",AG26="bajo"),Listas!$D$2,Listas!$D$3)</f>
        <v>Se puede aceptar el riesgo no es necesario adoptar medidas adicionales que reduzcan su probabilidad e impacto.</v>
      </c>
      <c r="AJ26" s="62"/>
      <c r="AK26" s="73"/>
      <c r="AL26" s="74"/>
      <c r="AM26" s="86"/>
      <c r="AN26" s="73"/>
      <c r="AO26" s="74"/>
      <c r="AP26" s="74"/>
      <c r="AQ26" s="1"/>
      <c r="AR26" s="1"/>
      <c r="AS26" s="1"/>
      <c r="AT26" s="1"/>
      <c r="AU26" s="1"/>
      <c r="AV26" s="1"/>
      <c r="AW26" s="1"/>
      <c r="AX26" s="1"/>
      <c r="AY26" s="1"/>
      <c r="AZ26" s="1"/>
      <c r="BA26" s="1"/>
      <c r="BB26" s="1"/>
    </row>
    <row r="27" spans="1:54" ht="210.75" hidden="1" customHeight="1">
      <c r="A27" s="58" t="s">
        <v>309</v>
      </c>
      <c r="B27" s="59" t="s">
        <v>138</v>
      </c>
      <c r="C27" s="61" t="s">
        <v>139</v>
      </c>
      <c r="D27" s="60" t="s">
        <v>310</v>
      </c>
      <c r="E27" s="61" t="s">
        <v>84</v>
      </c>
      <c r="F27" s="60" t="s">
        <v>311</v>
      </c>
      <c r="G27" s="59" t="s">
        <v>312</v>
      </c>
      <c r="H27" s="61" t="s">
        <v>186</v>
      </c>
      <c r="I27" s="61" t="s">
        <v>176</v>
      </c>
      <c r="J27" s="87">
        <v>2700</v>
      </c>
      <c r="K27" s="63" t="str">
        <f t="shared" si="13"/>
        <v>Alta</v>
      </c>
      <c r="L27" s="64">
        <f t="shared" si="14"/>
        <v>0.8</v>
      </c>
      <c r="M27" s="64" t="s">
        <v>62</v>
      </c>
      <c r="N27" s="65" t="str">
        <f t="shared" ca="1" si="19"/>
        <v xml:space="preserve">     El riesgo afecta la imagen de la entidad con algunos usuarios de relevancia frente al logro de los objetivos</v>
      </c>
      <c r="O27" s="63"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64">
        <f t="shared" ca="1" si="2"/>
        <v>0.6</v>
      </c>
      <c r="Q27" s="66" t="str">
        <f t="shared" ca="1" si="3"/>
        <v>Alto</v>
      </c>
      <c r="R27" s="58">
        <f t="shared" si="17"/>
        <v>20</v>
      </c>
      <c r="S27" s="59" t="s">
        <v>313</v>
      </c>
      <c r="T27" s="59" t="s">
        <v>314</v>
      </c>
      <c r="U27" s="58" t="str">
        <f t="shared" si="11"/>
        <v>Probabilidad</v>
      </c>
      <c r="V27" s="68" t="s">
        <v>65</v>
      </c>
      <c r="W27" s="68" t="s">
        <v>66</v>
      </c>
      <c r="X27" s="69" t="str">
        <f t="shared" si="15"/>
        <v>40%</v>
      </c>
      <c r="Y27" s="68" t="s">
        <v>67</v>
      </c>
      <c r="Z27" s="68" t="s">
        <v>68</v>
      </c>
      <c r="AA27" s="68" t="s">
        <v>69</v>
      </c>
      <c r="AB27" s="70">
        <f t="shared" si="5"/>
        <v>0.48</v>
      </c>
      <c r="AC27" s="71" t="str">
        <f t="shared" si="6"/>
        <v>Media</v>
      </c>
      <c r="AD27" s="69">
        <f t="shared" si="7"/>
        <v>0.48</v>
      </c>
      <c r="AE27" s="71" t="str">
        <f t="shared" ca="1" si="8"/>
        <v>Moderado</v>
      </c>
      <c r="AF27" s="69">
        <f t="shared" ca="1" si="9"/>
        <v>0.6</v>
      </c>
      <c r="AG27" s="72" t="str">
        <f t="shared" ca="1" si="10"/>
        <v>Moderado</v>
      </c>
      <c r="AH27" s="68" t="s">
        <v>70</v>
      </c>
      <c r="AI27" s="61" t="str">
        <f ca="1">+IF(OR(AG27="Moderado",AG27="bajo"),Listas!$D$2,Listas!$D$3)</f>
        <v>Se puede aceptar el riesgo no es necesario adoptar medidas adicionales que reduzcan su probabilidad e impacto.</v>
      </c>
      <c r="AJ27" s="62"/>
      <c r="AK27" s="73"/>
      <c r="AL27" s="74"/>
      <c r="AM27" s="86"/>
      <c r="AN27" s="73"/>
      <c r="AO27" s="74"/>
      <c r="AP27" s="74"/>
      <c r="AQ27" s="1"/>
      <c r="AR27" s="1"/>
      <c r="AS27" s="1"/>
      <c r="AT27" s="1"/>
      <c r="AU27" s="1"/>
      <c r="AV27" s="1"/>
      <c r="AW27" s="1"/>
      <c r="AX27" s="1"/>
      <c r="AY27" s="1"/>
      <c r="AZ27" s="1"/>
      <c r="BA27" s="1"/>
      <c r="BB27" s="1"/>
    </row>
    <row r="28" spans="1:54" ht="151.5" hidden="1" customHeight="1">
      <c r="A28" s="58" t="s">
        <v>315</v>
      </c>
      <c r="B28" s="59" t="s">
        <v>145</v>
      </c>
      <c r="C28" s="61" t="s">
        <v>146</v>
      </c>
      <c r="D28" s="60" t="s">
        <v>316</v>
      </c>
      <c r="E28" s="61" t="s">
        <v>84</v>
      </c>
      <c r="F28" s="60" t="s">
        <v>317</v>
      </c>
      <c r="G28" s="59" t="s">
        <v>318</v>
      </c>
      <c r="H28" s="61" t="s">
        <v>186</v>
      </c>
      <c r="I28" s="61" t="s">
        <v>176</v>
      </c>
      <c r="J28" s="58">
        <v>2</v>
      </c>
      <c r="K28" s="63" t="str">
        <f t="shared" si="13"/>
        <v>Muy Baja</v>
      </c>
      <c r="L28" s="64">
        <f t="shared" si="14"/>
        <v>0.2</v>
      </c>
      <c r="M28" s="64" t="s">
        <v>319</v>
      </c>
      <c r="N28" s="64" t="str">
        <f t="shared" ca="1" si="19"/>
        <v xml:space="preserve">     Entre 100 y 500 SMLMV </v>
      </c>
      <c r="O28" s="63"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Mayor</v>
      </c>
      <c r="P28" s="64">
        <f t="shared" ca="1" si="2"/>
        <v>0.8</v>
      </c>
      <c r="Q28" s="66" t="str">
        <f t="shared" ca="1" si="3"/>
        <v>Alto</v>
      </c>
      <c r="R28" s="58">
        <f t="shared" si="17"/>
        <v>21</v>
      </c>
      <c r="S28" s="59" t="s">
        <v>320</v>
      </c>
      <c r="T28" s="59" t="s">
        <v>321</v>
      </c>
      <c r="U28" s="58" t="str">
        <f t="shared" si="11"/>
        <v>Probabilidad</v>
      </c>
      <c r="V28" s="68" t="s">
        <v>65</v>
      </c>
      <c r="W28" s="68" t="s">
        <v>66</v>
      </c>
      <c r="X28" s="69" t="str">
        <f t="shared" si="15"/>
        <v>40%</v>
      </c>
      <c r="Y28" s="68" t="s">
        <v>67</v>
      </c>
      <c r="Z28" s="68" t="s">
        <v>68</v>
      </c>
      <c r="AA28" s="68" t="s">
        <v>69</v>
      </c>
      <c r="AB28" s="70">
        <f t="shared" si="5"/>
        <v>0.12</v>
      </c>
      <c r="AC28" s="71" t="str">
        <f t="shared" si="6"/>
        <v>Muy Baja</v>
      </c>
      <c r="AD28" s="69">
        <f t="shared" si="7"/>
        <v>0.12</v>
      </c>
      <c r="AE28" s="71" t="str">
        <f t="shared" ca="1" si="8"/>
        <v>Mayor</v>
      </c>
      <c r="AF28" s="69">
        <f t="shared" ca="1" si="9"/>
        <v>0.8</v>
      </c>
      <c r="AG28" s="72" t="str">
        <f t="shared" ca="1" si="10"/>
        <v>Alto</v>
      </c>
      <c r="AH28" s="68" t="s">
        <v>70</v>
      </c>
      <c r="AI28" s="61" t="str">
        <f ca="1">+IF(OR(AG28="Moderado",AG28="bajo"),Listas!$D$2,Listas!$D$3)</f>
        <v>Reduzca la probabilidad o impacto implementando acciones preventivas diferentes a los controles en un plan de tratamiento que identifique actividad, con fecha, responsable. También puede compartir o transferir el riesgo.</v>
      </c>
      <c r="AJ28" s="62"/>
      <c r="AK28" s="73"/>
      <c r="AL28" s="74"/>
      <c r="AM28" s="88"/>
      <c r="AN28" s="73"/>
      <c r="AO28" s="74"/>
      <c r="AP28" s="74"/>
      <c r="AQ28" s="1"/>
      <c r="AR28" s="1"/>
      <c r="AS28" s="1"/>
      <c r="AT28" s="1"/>
      <c r="AU28" s="1"/>
      <c r="AV28" s="1"/>
      <c r="AW28" s="1"/>
      <c r="AX28" s="1"/>
      <c r="AY28" s="1"/>
      <c r="AZ28" s="1"/>
      <c r="BA28" s="1"/>
      <c r="BB28" s="1"/>
    </row>
    <row r="29" spans="1:54" ht="151.5" hidden="1" customHeight="1">
      <c r="A29" s="58" t="s">
        <v>322</v>
      </c>
      <c r="B29" s="59" t="s">
        <v>145</v>
      </c>
      <c r="C29" s="61" t="s">
        <v>146</v>
      </c>
      <c r="D29" s="60" t="s">
        <v>323</v>
      </c>
      <c r="E29" s="61" t="s">
        <v>84</v>
      </c>
      <c r="F29" s="60" t="s">
        <v>324</v>
      </c>
      <c r="G29" s="59" t="s">
        <v>325</v>
      </c>
      <c r="H29" s="61" t="s">
        <v>186</v>
      </c>
      <c r="I29" s="61" t="s">
        <v>176</v>
      </c>
      <c r="J29" s="58">
        <v>12</v>
      </c>
      <c r="K29" s="63" t="str">
        <f t="shared" si="13"/>
        <v>Baja</v>
      </c>
      <c r="L29" s="64">
        <f t="shared" si="14"/>
        <v>0.4</v>
      </c>
      <c r="M29" s="64" t="s">
        <v>319</v>
      </c>
      <c r="N29" s="64" t="str">
        <f t="shared" ca="1" si="19"/>
        <v xml:space="preserve">     Entre 100 y 500 SMLMV </v>
      </c>
      <c r="O29" s="63"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64">
        <f t="shared" ca="1" si="2"/>
        <v>0.8</v>
      </c>
      <c r="Q29" s="66" t="str">
        <f t="shared" ca="1" si="3"/>
        <v>Alto</v>
      </c>
      <c r="R29" s="58">
        <f t="shared" si="17"/>
        <v>22</v>
      </c>
      <c r="S29" s="59" t="s">
        <v>326</v>
      </c>
      <c r="T29" s="59" t="s">
        <v>327</v>
      </c>
      <c r="U29" s="58" t="str">
        <f t="shared" si="11"/>
        <v>Probabilidad</v>
      </c>
      <c r="V29" s="68" t="s">
        <v>65</v>
      </c>
      <c r="W29" s="68" t="s">
        <v>66</v>
      </c>
      <c r="X29" s="69" t="str">
        <f t="shared" si="15"/>
        <v>40%</v>
      </c>
      <c r="Y29" s="68" t="s">
        <v>67</v>
      </c>
      <c r="Z29" s="68" t="s">
        <v>68</v>
      </c>
      <c r="AA29" s="68" t="s">
        <v>69</v>
      </c>
      <c r="AB29" s="70">
        <f t="shared" si="5"/>
        <v>0.24</v>
      </c>
      <c r="AC29" s="71" t="str">
        <f t="shared" si="6"/>
        <v>Baja</v>
      </c>
      <c r="AD29" s="69">
        <f t="shared" si="7"/>
        <v>0.24</v>
      </c>
      <c r="AE29" s="71" t="str">
        <f t="shared" ca="1" si="8"/>
        <v>Mayor</v>
      </c>
      <c r="AF29" s="69">
        <f t="shared" ca="1" si="9"/>
        <v>0.8</v>
      </c>
      <c r="AG29" s="72" t="str">
        <f t="shared" ca="1" si="10"/>
        <v>Alto</v>
      </c>
      <c r="AH29" s="68" t="s">
        <v>70</v>
      </c>
      <c r="AI29" s="61"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62"/>
      <c r="AK29" s="73"/>
      <c r="AL29" s="74"/>
      <c r="AM29" s="73"/>
      <c r="AN29" s="73"/>
      <c r="AO29" s="74"/>
      <c r="AP29" s="74"/>
      <c r="AQ29" s="1"/>
      <c r="AR29" s="1"/>
      <c r="AS29" s="1"/>
      <c r="AT29" s="1"/>
      <c r="AU29" s="1"/>
      <c r="AV29" s="1"/>
      <c r="AW29" s="1"/>
      <c r="AX29" s="1"/>
      <c r="AY29" s="1"/>
      <c r="AZ29" s="1"/>
      <c r="BA29" s="1"/>
      <c r="BB29" s="1"/>
    </row>
    <row r="30" spans="1:54" ht="151.5" hidden="1" customHeight="1">
      <c r="A30" s="58" t="s">
        <v>328</v>
      </c>
      <c r="B30" s="59" t="s">
        <v>145</v>
      </c>
      <c r="C30" s="61" t="s">
        <v>146</v>
      </c>
      <c r="D30" s="60" t="s">
        <v>329</v>
      </c>
      <c r="E30" s="61" t="s">
        <v>57</v>
      </c>
      <c r="F30" s="60" t="s">
        <v>330</v>
      </c>
      <c r="G30" s="59" t="s">
        <v>331</v>
      </c>
      <c r="H30" s="61" t="s">
        <v>186</v>
      </c>
      <c r="I30" s="61" t="s">
        <v>176</v>
      </c>
      <c r="J30" s="58">
        <v>6</v>
      </c>
      <c r="K30" s="63" t="str">
        <f t="shared" si="13"/>
        <v>Baja</v>
      </c>
      <c r="L30" s="64">
        <f t="shared" si="14"/>
        <v>0.4</v>
      </c>
      <c r="M30" s="64" t="s">
        <v>62</v>
      </c>
      <c r="N30" s="64" t="str">
        <f ca="1">IF(NOT(ISERROR(MATCH(M30,'Anexo 3 Tabla Impacto'!$B$221:$B$223,0))),'Anexo 3 Tabla Impacto'!$F$223&amp;"Por favor no seleccionar los criterios de impacto(Afectación Económica o presupuestal y Pérdida Reputacional)",M30)</f>
        <v xml:space="preserve">     El riesgo afecta la imagen de la entidad con algunos usuarios de relevancia frente al logro de los objetivos</v>
      </c>
      <c r="O30" s="63"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Moderado</v>
      </c>
      <c r="P30" s="64">
        <f t="shared" ca="1" si="2"/>
        <v>0.6</v>
      </c>
      <c r="Q30" s="66" t="str">
        <f t="shared" ca="1" si="3"/>
        <v>Moderado</v>
      </c>
      <c r="R30" s="58">
        <f t="shared" si="17"/>
        <v>23</v>
      </c>
      <c r="S30" s="59" t="s">
        <v>332</v>
      </c>
      <c r="T30" s="59" t="s">
        <v>333</v>
      </c>
      <c r="U30" s="58" t="str">
        <f t="shared" si="11"/>
        <v>Probabilidad</v>
      </c>
      <c r="V30" s="68" t="s">
        <v>65</v>
      </c>
      <c r="W30" s="68" t="s">
        <v>66</v>
      </c>
      <c r="X30" s="69" t="str">
        <f t="shared" si="15"/>
        <v>40%</v>
      </c>
      <c r="Y30" s="68" t="s">
        <v>67</v>
      </c>
      <c r="Z30" s="68" t="s">
        <v>68</v>
      </c>
      <c r="AA30" s="68" t="s">
        <v>69</v>
      </c>
      <c r="AB30" s="70">
        <f t="shared" si="5"/>
        <v>0.24</v>
      </c>
      <c r="AC30" s="71" t="str">
        <f t="shared" si="6"/>
        <v>Baja</v>
      </c>
      <c r="AD30" s="69">
        <f t="shared" si="7"/>
        <v>0.24</v>
      </c>
      <c r="AE30" s="71" t="str">
        <f t="shared" ca="1" si="8"/>
        <v>Moderado</v>
      </c>
      <c r="AF30" s="69">
        <f t="shared" ca="1" si="9"/>
        <v>0.6</v>
      </c>
      <c r="AG30" s="72" t="str">
        <f t="shared" ca="1" si="10"/>
        <v>Moderado</v>
      </c>
      <c r="AH30" s="68" t="s">
        <v>70</v>
      </c>
      <c r="AI30" s="61" t="str">
        <f ca="1">+IF(OR(AG30="Moderado",AG30="bajo"),Listas!$D$2,Listas!$D$3)</f>
        <v>Se puede aceptar el riesgo no es necesario adoptar medidas adicionales que reduzcan su probabilidad e impacto.</v>
      </c>
      <c r="AJ30" s="62"/>
      <c r="AK30" s="73"/>
      <c r="AL30" s="74"/>
      <c r="AM30" s="73"/>
      <c r="AN30" s="73"/>
      <c r="AO30" s="74"/>
      <c r="AP30" s="74"/>
      <c r="AQ30" s="1"/>
      <c r="AR30" s="1"/>
      <c r="AS30" s="1"/>
      <c r="AT30" s="1"/>
      <c r="AU30" s="1"/>
      <c r="AV30" s="1"/>
      <c r="AW30" s="1"/>
      <c r="AX30" s="1"/>
      <c r="AY30" s="1"/>
      <c r="AZ30" s="1"/>
      <c r="BA30" s="1"/>
      <c r="BB30" s="1"/>
    </row>
    <row r="31" spans="1:54" ht="174" hidden="1" customHeight="1">
      <c r="A31" s="58" t="s">
        <v>334</v>
      </c>
      <c r="B31" s="59" t="s">
        <v>145</v>
      </c>
      <c r="C31" s="61" t="s">
        <v>146</v>
      </c>
      <c r="D31" s="60" t="s">
        <v>335</v>
      </c>
      <c r="E31" s="61" t="s">
        <v>57</v>
      </c>
      <c r="F31" s="60" t="s">
        <v>336</v>
      </c>
      <c r="G31" s="59" t="s">
        <v>337</v>
      </c>
      <c r="H31" s="61" t="s">
        <v>186</v>
      </c>
      <c r="I31" s="61" t="s">
        <v>176</v>
      </c>
      <c r="J31" s="58">
        <v>11</v>
      </c>
      <c r="K31" s="63" t="str">
        <f t="shared" si="13"/>
        <v>Baja</v>
      </c>
      <c r="L31" s="64">
        <f t="shared" si="14"/>
        <v>0.4</v>
      </c>
      <c r="M31" s="64" t="s">
        <v>281</v>
      </c>
      <c r="N31" s="64" t="str">
        <f t="shared" ref="N31:N37" ca="1" si="20">IF(NOT(ISERROR(MATCH(M31,ANCHORARRAY(#REF!),0))),#REF!&amp;"Por favor no seleccionar los criterios de impacto",M31)</f>
        <v xml:space="preserve">     El riesgo afecta la imagen de la entidad internamente, de conocimiento general, nivel interno, de junta dircetiva y accionistas y/o de provedores</v>
      </c>
      <c r="O31" s="63"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64">
        <f t="shared" ca="1" si="2"/>
        <v>0.4</v>
      </c>
      <c r="Q31" s="66" t="str">
        <f t="shared" ca="1" si="3"/>
        <v>Moderado</v>
      </c>
      <c r="R31" s="58">
        <f t="shared" si="17"/>
        <v>24</v>
      </c>
      <c r="S31" s="59" t="s">
        <v>338</v>
      </c>
      <c r="T31" s="59" t="s">
        <v>339</v>
      </c>
      <c r="U31" s="58" t="str">
        <f t="shared" si="11"/>
        <v>Probabilidad</v>
      </c>
      <c r="V31" s="68" t="s">
        <v>65</v>
      </c>
      <c r="W31" s="68" t="s">
        <v>66</v>
      </c>
      <c r="X31" s="69" t="str">
        <f t="shared" si="15"/>
        <v>40%</v>
      </c>
      <c r="Y31" s="68" t="s">
        <v>67</v>
      </c>
      <c r="Z31" s="68" t="s">
        <v>68</v>
      </c>
      <c r="AA31" s="68" t="s">
        <v>69</v>
      </c>
      <c r="AB31" s="70">
        <f t="shared" si="5"/>
        <v>0.24</v>
      </c>
      <c r="AC31" s="71" t="str">
        <f t="shared" si="6"/>
        <v>Baja</v>
      </c>
      <c r="AD31" s="69">
        <f t="shared" si="7"/>
        <v>0.24</v>
      </c>
      <c r="AE31" s="71" t="str">
        <f t="shared" ca="1" si="8"/>
        <v>Menor</v>
      </c>
      <c r="AF31" s="69">
        <f t="shared" ca="1" si="9"/>
        <v>0.4</v>
      </c>
      <c r="AG31" s="72" t="str">
        <f t="shared" ca="1" si="10"/>
        <v>Moderado</v>
      </c>
      <c r="AH31" s="68" t="s">
        <v>70</v>
      </c>
      <c r="AI31" s="61" t="str">
        <f ca="1">+IF(OR(AG31="Moderado",AG31="bajo"),Listas!$D$2,Listas!$D$3)</f>
        <v>Se puede aceptar el riesgo no es necesario adoptar medidas adicionales que reduzcan su probabilidad e impacto.</v>
      </c>
      <c r="AJ31" s="62"/>
      <c r="AK31" s="73"/>
      <c r="AL31" s="74"/>
      <c r="AM31" s="73"/>
      <c r="AN31" s="73"/>
      <c r="AO31" s="74"/>
      <c r="AP31" s="74"/>
      <c r="AQ31" s="1"/>
      <c r="AR31" s="1"/>
      <c r="AS31" s="1"/>
      <c r="AT31" s="1"/>
      <c r="AU31" s="1"/>
      <c r="AV31" s="1"/>
      <c r="AW31" s="1"/>
      <c r="AX31" s="1"/>
      <c r="AY31" s="1"/>
      <c r="AZ31" s="1"/>
      <c r="BA31" s="1"/>
      <c r="BB31" s="1"/>
    </row>
    <row r="32" spans="1:54" ht="151.5" customHeight="1">
      <c r="A32" s="58" t="s">
        <v>340</v>
      </c>
      <c r="B32" s="59" t="s">
        <v>152</v>
      </c>
      <c r="C32" s="61" t="s">
        <v>153</v>
      </c>
      <c r="D32" s="60" t="s">
        <v>341</v>
      </c>
      <c r="E32" s="61" t="s">
        <v>84</v>
      </c>
      <c r="F32" s="60" t="s">
        <v>342</v>
      </c>
      <c r="G32" s="59" t="s">
        <v>343</v>
      </c>
      <c r="H32" s="61" t="s">
        <v>186</v>
      </c>
      <c r="I32" s="61" t="s">
        <v>176</v>
      </c>
      <c r="J32" s="58">
        <v>15</v>
      </c>
      <c r="K32" s="63" t="str">
        <f t="shared" si="13"/>
        <v>Baja</v>
      </c>
      <c r="L32" s="64">
        <f t="shared" si="14"/>
        <v>0.4</v>
      </c>
      <c r="M32" s="64" t="s">
        <v>194</v>
      </c>
      <c r="N32" s="64" t="str">
        <f t="shared" ca="1" si="20"/>
        <v xml:space="preserve">     Entre 50 y 100 SMLMV </v>
      </c>
      <c r="O32" s="63"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Moderado</v>
      </c>
      <c r="P32" s="64">
        <f t="shared" ca="1" si="2"/>
        <v>0.6</v>
      </c>
      <c r="Q32" s="66" t="str">
        <f t="shared" ca="1" si="3"/>
        <v>Moderado</v>
      </c>
      <c r="R32" s="58">
        <f t="shared" si="17"/>
        <v>25</v>
      </c>
      <c r="S32" s="59" t="s">
        <v>344</v>
      </c>
      <c r="T32" s="59" t="s">
        <v>345</v>
      </c>
      <c r="U32" s="58" t="str">
        <f t="shared" si="11"/>
        <v>Probabilidad</v>
      </c>
      <c r="V32" s="68" t="s">
        <v>65</v>
      </c>
      <c r="W32" s="68" t="s">
        <v>66</v>
      </c>
      <c r="X32" s="69" t="str">
        <f t="shared" si="15"/>
        <v>40%</v>
      </c>
      <c r="Y32" s="68" t="s">
        <v>67</v>
      </c>
      <c r="Z32" s="68" t="s">
        <v>68</v>
      </c>
      <c r="AA32" s="68" t="s">
        <v>69</v>
      </c>
      <c r="AB32" s="70">
        <f t="shared" si="5"/>
        <v>0.24</v>
      </c>
      <c r="AC32" s="71" t="str">
        <f t="shared" si="6"/>
        <v>Baja</v>
      </c>
      <c r="AD32" s="69">
        <f t="shared" si="7"/>
        <v>0.24</v>
      </c>
      <c r="AE32" s="71" t="str">
        <f t="shared" ca="1" si="8"/>
        <v>Moderado</v>
      </c>
      <c r="AF32" s="69">
        <f t="shared" ca="1" si="9"/>
        <v>0.6</v>
      </c>
      <c r="AG32" s="72" t="str">
        <f t="shared" ca="1" si="10"/>
        <v>Moderado</v>
      </c>
      <c r="AH32" s="68" t="s">
        <v>70</v>
      </c>
      <c r="AI32" s="61" t="str">
        <f ca="1">+IF(OR(AG32="Moderado",AG32="bajo"),Listas!$D$2,Listas!$D$3)</f>
        <v>Se puede aceptar el riesgo no es necesario adoptar medidas adicionales que reduzcan su probabilidad e impacto.</v>
      </c>
      <c r="AJ32" s="62"/>
      <c r="AK32" s="73"/>
      <c r="AL32" s="74"/>
      <c r="AM32" s="73"/>
      <c r="AN32" s="73"/>
      <c r="AO32" s="74"/>
      <c r="AP32" s="74"/>
      <c r="AQ32" s="1"/>
      <c r="AR32" s="1"/>
      <c r="AS32" s="1"/>
      <c r="AT32" s="1"/>
      <c r="AU32" s="1"/>
      <c r="AV32" s="1"/>
      <c r="AW32" s="1"/>
      <c r="AX32" s="1"/>
      <c r="AY32" s="1"/>
      <c r="AZ32" s="1"/>
      <c r="BA32" s="1"/>
      <c r="BB32" s="1"/>
    </row>
    <row r="33" spans="1:54" ht="144" customHeight="1">
      <c r="A33" s="58" t="s">
        <v>346</v>
      </c>
      <c r="B33" s="59" t="s">
        <v>152</v>
      </c>
      <c r="C33" s="61" t="s">
        <v>153</v>
      </c>
      <c r="D33" s="60" t="s">
        <v>347</v>
      </c>
      <c r="E33" s="61" t="s">
        <v>57</v>
      </c>
      <c r="F33" s="60" t="s">
        <v>348</v>
      </c>
      <c r="G33" s="59" t="s">
        <v>349</v>
      </c>
      <c r="H33" s="61" t="s">
        <v>186</v>
      </c>
      <c r="I33" s="61" t="s">
        <v>176</v>
      </c>
      <c r="J33" s="58">
        <v>1500</v>
      </c>
      <c r="K33" s="63" t="str">
        <f t="shared" si="13"/>
        <v>Alta</v>
      </c>
      <c r="L33" s="64">
        <f t="shared" si="14"/>
        <v>0.8</v>
      </c>
      <c r="M33" s="64" t="s">
        <v>62</v>
      </c>
      <c r="N33" s="64" t="str">
        <f t="shared" ca="1" si="20"/>
        <v xml:space="preserve">     El riesgo afecta la imagen de la entidad con algunos usuarios de relevancia frente al logro de los objetivos</v>
      </c>
      <c r="O33" s="63"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Moderado</v>
      </c>
      <c r="P33" s="64">
        <f t="shared" ca="1" si="2"/>
        <v>0.6</v>
      </c>
      <c r="Q33" s="66" t="str">
        <f t="shared" ca="1" si="3"/>
        <v>Alto</v>
      </c>
      <c r="R33" s="58">
        <f t="shared" si="17"/>
        <v>26</v>
      </c>
      <c r="S33" s="67" t="s">
        <v>350</v>
      </c>
      <c r="T33" s="59" t="s">
        <v>351</v>
      </c>
      <c r="U33" s="58" t="str">
        <f t="shared" si="11"/>
        <v>Probabilidad</v>
      </c>
      <c r="V33" s="68" t="s">
        <v>65</v>
      </c>
      <c r="W33" s="68" t="s">
        <v>66</v>
      </c>
      <c r="X33" s="69" t="str">
        <f t="shared" si="15"/>
        <v>40%</v>
      </c>
      <c r="Y33" s="68" t="s">
        <v>67</v>
      </c>
      <c r="Z33" s="68" t="s">
        <v>68</v>
      </c>
      <c r="AA33" s="68" t="s">
        <v>69</v>
      </c>
      <c r="AB33" s="70">
        <f t="shared" si="5"/>
        <v>0.48</v>
      </c>
      <c r="AC33" s="71" t="str">
        <f t="shared" si="6"/>
        <v>Media</v>
      </c>
      <c r="AD33" s="69">
        <f t="shared" si="7"/>
        <v>0.48</v>
      </c>
      <c r="AE33" s="71" t="str">
        <f t="shared" ca="1" si="8"/>
        <v>Moderado</v>
      </c>
      <c r="AF33" s="69">
        <f t="shared" ca="1" si="9"/>
        <v>0.6</v>
      </c>
      <c r="AG33" s="72" t="str">
        <f t="shared" ca="1" si="10"/>
        <v>Moderado</v>
      </c>
      <c r="AH33" s="68" t="s">
        <v>70</v>
      </c>
      <c r="AI33" s="61" t="str">
        <f ca="1">+IF(OR(AG33="Moderado",AG33="bajo"),Listas!$D$2,Listas!$D$3)</f>
        <v>Se puede aceptar el riesgo no es necesario adoptar medidas adicionales que reduzcan su probabilidad e impacto.</v>
      </c>
      <c r="AJ33" s="62"/>
      <c r="AK33" s="73"/>
      <c r="AL33" s="74"/>
      <c r="AM33" s="73"/>
      <c r="AN33" s="73"/>
      <c r="AO33" s="74"/>
      <c r="AP33" s="74"/>
      <c r="AQ33" s="1"/>
      <c r="AR33" s="1"/>
      <c r="AS33" s="1"/>
      <c r="AT33" s="1"/>
      <c r="AU33" s="1"/>
      <c r="AV33" s="1"/>
      <c r="AW33" s="1"/>
      <c r="AX33" s="1"/>
      <c r="AY33" s="1"/>
      <c r="AZ33" s="1"/>
      <c r="BA33" s="1"/>
      <c r="BB33" s="1"/>
    </row>
    <row r="34" spans="1:54" ht="108" customHeight="1">
      <c r="A34" s="58" t="s">
        <v>352</v>
      </c>
      <c r="B34" s="59" t="s">
        <v>152</v>
      </c>
      <c r="C34" s="59" t="s">
        <v>153</v>
      </c>
      <c r="D34" s="60" t="s">
        <v>353</v>
      </c>
      <c r="E34" s="61" t="s">
        <v>57</v>
      </c>
      <c r="F34" s="60" t="s">
        <v>354</v>
      </c>
      <c r="G34" s="59" t="s">
        <v>161</v>
      </c>
      <c r="H34" s="61" t="s">
        <v>186</v>
      </c>
      <c r="I34" s="61" t="s">
        <v>355</v>
      </c>
      <c r="J34" s="58">
        <v>1</v>
      </c>
      <c r="K34" s="63" t="s">
        <v>227</v>
      </c>
      <c r="L34" s="64">
        <v>0.4</v>
      </c>
      <c r="M34" s="64" t="s">
        <v>62</v>
      </c>
      <c r="N34" s="64" t="str">
        <f t="shared" ca="1" si="20"/>
        <v xml:space="preserve">     El riesgo afecta la imagen de la entidad con algunos usuarios de relevancia frente al logro de los objetivos</v>
      </c>
      <c r="O34" s="63"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Moderado</v>
      </c>
      <c r="P34" s="64">
        <f t="shared" ca="1" si="2"/>
        <v>0.6</v>
      </c>
      <c r="Q34" s="66" t="str">
        <f t="shared" ca="1" si="3"/>
        <v>Moderado</v>
      </c>
      <c r="R34" s="58">
        <f t="shared" si="17"/>
        <v>27</v>
      </c>
      <c r="S34" s="67" t="s">
        <v>356</v>
      </c>
      <c r="T34" s="59" t="s">
        <v>357</v>
      </c>
      <c r="U34" s="58" t="str">
        <f t="shared" si="11"/>
        <v>Probabilidad</v>
      </c>
      <c r="V34" s="68" t="s">
        <v>65</v>
      </c>
      <c r="W34" s="68" t="s">
        <v>66</v>
      </c>
      <c r="X34" s="69" t="str">
        <f t="shared" si="15"/>
        <v>40%</v>
      </c>
      <c r="Y34" s="68" t="s">
        <v>67</v>
      </c>
      <c r="Z34" s="68" t="s">
        <v>68</v>
      </c>
      <c r="AA34" s="68" t="s">
        <v>69</v>
      </c>
      <c r="AB34" s="70">
        <v>0.25</v>
      </c>
      <c r="AC34" s="71" t="str">
        <f t="shared" si="6"/>
        <v>Baja</v>
      </c>
      <c r="AD34" s="69">
        <f t="shared" si="7"/>
        <v>0.25</v>
      </c>
      <c r="AE34" s="71" t="str">
        <f t="shared" ca="1" si="8"/>
        <v>Moderado</v>
      </c>
      <c r="AF34" s="69">
        <f t="shared" ca="1" si="9"/>
        <v>0.6</v>
      </c>
      <c r="AG34" s="72" t="str">
        <f t="shared" ca="1" si="10"/>
        <v>Moderado</v>
      </c>
      <c r="AH34" s="68" t="s">
        <v>70</v>
      </c>
      <c r="AI34" s="80"/>
      <c r="AJ34" s="80"/>
      <c r="AK34" s="80"/>
      <c r="AL34" s="80"/>
      <c r="AM34" s="80"/>
      <c r="AN34" s="80"/>
      <c r="AO34" s="80"/>
      <c r="AP34" s="80"/>
      <c r="AQ34" s="45"/>
      <c r="AR34" s="45"/>
      <c r="AS34" s="45"/>
      <c r="AT34" s="45"/>
      <c r="AU34" s="45"/>
      <c r="AV34" s="45"/>
      <c r="AW34" s="45"/>
      <c r="AX34" s="45"/>
      <c r="AY34" s="45"/>
      <c r="AZ34" s="45"/>
      <c r="BA34" s="45"/>
      <c r="BB34" s="45"/>
    </row>
    <row r="35" spans="1:54" ht="158.25" hidden="1" customHeight="1">
      <c r="A35" s="58" t="s">
        <v>358</v>
      </c>
      <c r="B35" s="59" t="s">
        <v>158</v>
      </c>
      <c r="C35" s="61" t="s">
        <v>159</v>
      </c>
      <c r="D35" s="61" t="s">
        <v>359</v>
      </c>
      <c r="E35" s="61" t="s">
        <v>84</v>
      </c>
      <c r="F35" s="60" t="s">
        <v>360</v>
      </c>
      <c r="G35" s="59" t="s">
        <v>161</v>
      </c>
      <c r="H35" s="61" t="s">
        <v>186</v>
      </c>
      <c r="I35" s="61" t="s">
        <v>176</v>
      </c>
      <c r="J35" s="58">
        <v>12</v>
      </c>
      <c r="K35" s="63" t="str">
        <f t="shared" ref="K35:K37" si="21">IF(J35&lt;=0,"",IF(J35&lt;=2,"Muy Baja",IF(J35&lt;=24,"Baja",IF(J35&lt;=500,"Media",IF(J35&lt;=5000,"Alta","Muy Alta")))))</f>
        <v>Baja</v>
      </c>
      <c r="L35" s="64">
        <f t="shared" ref="L35:L37" si="22">IF(K35="","",IF(K35="Muy Baja",0.2,IF(K35="Baja",0.4,IF(K35="Media",0.6,IF(K35="Alta",0.8,IF(K35="Muy Alta",1,))))))</f>
        <v>0.4</v>
      </c>
      <c r="M35" s="64" t="s">
        <v>194</v>
      </c>
      <c r="N35" s="64" t="str">
        <f t="shared" ca="1" si="20"/>
        <v xml:space="preserve">     Entre 50 y 100 SMLMV </v>
      </c>
      <c r="O35" s="63"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Moderado</v>
      </c>
      <c r="P35" s="64">
        <f t="shared" ca="1" si="2"/>
        <v>0.6</v>
      </c>
      <c r="Q35" s="66" t="str">
        <f t="shared" ca="1" si="3"/>
        <v>Moderado</v>
      </c>
      <c r="R35" s="58">
        <f t="shared" si="17"/>
        <v>28</v>
      </c>
      <c r="S35" s="67" t="s">
        <v>361</v>
      </c>
      <c r="T35" s="59" t="s">
        <v>327</v>
      </c>
      <c r="U35" s="58" t="str">
        <f t="shared" si="11"/>
        <v>Probabilidad</v>
      </c>
      <c r="V35" s="68" t="s">
        <v>65</v>
      </c>
      <c r="W35" s="68" t="s">
        <v>66</v>
      </c>
      <c r="X35" s="69" t="str">
        <f t="shared" si="15"/>
        <v>40%</v>
      </c>
      <c r="Y35" s="68" t="s">
        <v>67</v>
      </c>
      <c r="Z35" s="68" t="s">
        <v>68</v>
      </c>
      <c r="AA35" s="68" t="s">
        <v>69</v>
      </c>
      <c r="AB35" s="70">
        <f t="shared" ref="AB35:AB37" si="23">IFERROR(IF(U35="Probabilidad",(L35-(+L35*X35)),IF(U35="Impacto",L35,"")),"")</f>
        <v>0.24</v>
      </c>
      <c r="AC35" s="71" t="str">
        <f t="shared" si="6"/>
        <v>Baja</v>
      </c>
      <c r="AD35" s="69">
        <f t="shared" si="7"/>
        <v>0.24</v>
      </c>
      <c r="AE35" s="71" t="str">
        <f t="shared" ca="1" si="8"/>
        <v>Moderado</v>
      </c>
      <c r="AF35" s="69">
        <f t="shared" ca="1" si="9"/>
        <v>0.6</v>
      </c>
      <c r="AG35" s="72" t="str">
        <f t="shared" ca="1" si="10"/>
        <v>Moderado</v>
      </c>
      <c r="AH35" s="68" t="s">
        <v>70</v>
      </c>
      <c r="AI35" s="61" t="str">
        <f ca="1">+IF(OR(AG35="Moderado",AG35="bajo"),Listas!$D$2,Listas!$D$3)</f>
        <v>Se puede aceptar el riesgo no es necesario adoptar medidas adicionales que reduzcan su probabilidad e impacto.</v>
      </c>
      <c r="AJ35" s="80"/>
      <c r="AK35" s="80"/>
      <c r="AL35" s="80"/>
      <c r="AM35" s="80"/>
      <c r="AN35" s="73"/>
      <c r="AO35" s="80"/>
      <c r="AP35" s="80"/>
      <c r="AQ35" s="45"/>
      <c r="AR35" s="45"/>
      <c r="AS35" s="45"/>
      <c r="AT35" s="45"/>
      <c r="AU35" s="45"/>
      <c r="AV35" s="45"/>
      <c r="AW35" s="45"/>
      <c r="AX35" s="45"/>
      <c r="AY35" s="45"/>
      <c r="AZ35" s="45"/>
      <c r="BA35" s="45"/>
      <c r="BB35" s="45"/>
    </row>
    <row r="36" spans="1:54" ht="116.25" hidden="1" customHeight="1">
      <c r="A36" s="58" t="s">
        <v>362</v>
      </c>
      <c r="B36" s="59" t="s">
        <v>158</v>
      </c>
      <c r="C36" s="61" t="s">
        <v>159</v>
      </c>
      <c r="D36" s="61" t="s">
        <v>363</v>
      </c>
      <c r="E36" s="61" t="s">
        <v>84</v>
      </c>
      <c r="F36" s="60" t="s">
        <v>364</v>
      </c>
      <c r="G36" s="59" t="s">
        <v>161</v>
      </c>
      <c r="H36" s="61" t="s">
        <v>186</v>
      </c>
      <c r="I36" s="61" t="s">
        <v>365</v>
      </c>
      <c r="J36" s="58">
        <v>957</v>
      </c>
      <c r="K36" s="63" t="str">
        <f t="shared" si="21"/>
        <v>Alta</v>
      </c>
      <c r="L36" s="64">
        <f t="shared" si="22"/>
        <v>0.8</v>
      </c>
      <c r="M36" s="64" t="s">
        <v>319</v>
      </c>
      <c r="N36" s="64" t="str">
        <f t="shared" ca="1" si="20"/>
        <v xml:space="preserve">     Entre 100 y 500 SMLMV </v>
      </c>
      <c r="O36" s="63"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Mayor</v>
      </c>
      <c r="P36" s="64">
        <f t="shared" ca="1" si="2"/>
        <v>0.8</v>
      </c>
      <c r="Q36" s="66" t="str">
        <f t="shared" ca="1" si="3"/>
        <v>Alto</v>
      </c>
      <c r="R36" s="58">
        <f t="shared" si="17"/>
        <v>29</v>
      </c>
      <c r="S36" s="67" t="s">
        <v>366</v>
      </c>
      <c r="T36" s="89" t="s">
        <v>367</v>
      </c>
      <c r="U36" s="58" t="str">
        <f t="shared" si="11"/>
        <v>Probabilidad</v>
      </c>
      <c r="V36" s="68" t="s">
        <v>65</v>
      </c>
      <c r="W36" s="68" t="s">
        <v>66</v>
      </c>
      <c r="X36" s="69" t="str">
        <f t="shared" si="15"/>
        <v>40%</v>
      </c>
      <c r="Y36" s="68" t="s">
        <v>67</v>
      </c>
      <c r="Z36" s="68" t="s">
        <v>68</v>
      </c>
      <c r="AA36" s="68" t="s">
        <v>69</v>
      </c>
      <c r="AB36" s="70">
        <f t="shared" si="23"/>
        <v>0.48</v>
      </c>
      <c r="AC36" s="71" t="str">
        <f t="shared" si="6"/>
        <v>Media</v>
      </c>
      <c r="AD36" s="69">
        <f t="shared" si="7"/>
        <v>0.48</v>
      </c>
      <c r="AE36" s="71" t="str">
        <f t="shared" ca="1" si="8"/>
        <v>Mayor</v>
      </c>
      <c r="AF36" s="69">
        <f t="shared" ca="1" si="9"/>
        <v>0.8</v>
      </c>
      <c r="AG36" s="72" t="str">
        <f t="shared" ca="1" si="10"/>
        <v>Alto</v>
      </c>
      <c r="AH36" s="68" t="s">
        <v>368</v>
      </c>
      <c r="AI36" s="61" t="str">
        <f ca="1">+IF(OR(AG36="Moderado",AG36="bajo"),Listas!$D$2,Listas!$D$3)</f>
        <v>Reduzca la probabilidad o impacto implementando acciones preventivas diferentes a los controles en un plan de tratamiento que identifique actividad, con fecha, responsable. También puede compartir o transferir el riesgo.</v>
      </c>
      <c r="AJ36" s="80"/>
      <c r="AK36" s="80"/>
      <c r="AL36" s="80"/>
      <c r="AM36" s="80"/>
      <c r="AN36" s="80"/>
      <c r="AO36" s="80"/>
      <c r="AP36" s="80"/>
      <c r="AQ36" s="45"/>
      <c r="AR36" s="45"/>
      <c r="AS36" s="45"/>
      <c r="AT36" s="45"/>
      <c r="AU36" s="45"/>
      <c r="AV36" s="45"/>
      <c r="AW36" s="45"/>
      <c r="AX36" s="45"/>
      <c r="AY36" s="45"/>
      <c r="AZ36" s="45"/>
      <c r="BA36" s="45"/>
      <c r="BB36" s="45"/>
    </row>
    <row r="37" spans="1:54" ht="200.25" hidden="1" customHeight="1">
      <c r="A37" s="58" t="s">
        <v>369</v>
      </c>
      <c r="B37" s="59" t="s">
        <v>158</v>
      </c>
      <c r="C37" s="61" t="s">
        <v>159</v>
      </c>
      <c r="D37" s="61" t="s">
        <v>370</v>
      </c>
      <c r="E37" s="61" t="s">
        <v>57</v>
      </c>
      <c r="F37" s="60" t="s">
        <v>371</v>
      </c>
      <c r="G37" s="59" t="s">
        <v>161</v>
      </c>
      <c r="H37" s="61" t="s">
        <v>186</v>
      </c>
      <c r="I37" s="61" t="s">
        <v>176</v>
      </c>
      <c r="J37" s="58">
        <v>240</v>
      </c>
      <c r="K37" s="63" t="str">
        <f t="shared" si="21"/>
        <v>Media</v>
      </c>
      <c r="L37" s="64">
        <f t="shared" si="22"/>
        <v>0.6</v>
      </c>
      <c r="M37" s="64" t="s">
        <v>62</v>
      </c>
      <c r="N37" s="64" t="str">
        <f t="shared" ca="1" si="20"/>
        <v xml:space="preserve">     El riesgo afecta la imagen de la entidad con algunos usuarios de relevancia frente al logro de los objetivos</v>
      </c>
      <c r="O37" s="63"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64">
        <f t="shared" ca="1" si="2"/>
        <v>0.6</v>
      </c>
      <c r="Q37" s="66" t="str">
        <f t="shared" ca="1" si="3"/>
        <v>Moderado</v>
      </c>
      <c r="R37" s="58">
        <f t="shared" si="17"/>
        <v>30</v>
      </c>
      <c r="S37" s="67" t="s">
        <v>372</v>
      </c>
      <c r="T37" s="59" t="s">
        <v>373</v>
      </c>
      <c r="U37" s="58" t="str">
        <f t="shared" si="11"/>
        <v>Probabilidad</v>
      </c>
      <c r="V37" s="68" t="s">
        <v>65</v>
      </c>
      <c r="W37" s="68" t="s">
        <v>66</v>
      </c>
      <c r="X37" s="69" t="str">
        <f t="shared" si="15"/>
        <v>40%</v>
      </c>
      <c r="Y37" s="68" t="s">
        <v>67</v>
      </c>
      <c r="Z37" s="68" t="s">
        <v>68</v>
      </c>
      <c r="AA37" s="68" t="s">
        <v>69</v>
      </c>
      <c r="AB37" s="70">
        <f t="shared" si="23"/>
        <v>0.36</v>
      </c>
      <c r="AC37" s="71" t="str">
        <f t="shared" si="6"/>
        <v>Baja</v>
      </c>
      <c r="AD37" s="69">
        <f t="shared" si="7"/>
        <v>0.36</v>
      </c>
      <c r="AE37" s="71" t="str">
        <f t="shared" ca="1" si="8"/>
        <v>Moderado</v>
      </c>
      <c r="AF37" s="69">
        <f t="shared" ca="1" si="9"/>
        <v>0.6</v>
      </c>
      <c r="AG37" s="72" t="str">
        <f t="shared" ca="1" si="10"/>
        <v>Moderado</v>
      </c>
      <c r="AH37" s="68" t="s">
        <v>70</v>
      </c>
      <c r="AI37" s="61" t="str">
        <f ca="1">+IF(OR(AG37="Moderado",AG37="bajo"),Listas!$D$2,Listas!$D$3)</f>
        <v>Se puede aceptar el riesgo no es necesario adoptar medidas adicionales que reduzcan su probabilidad e impacto.</v>
      </c>
      <c r="AJ37" s="80"/>
      <c r="AK37" s="80"/>
      <c r="AL37" s="80"/>
      <c r="AM37" s="80"/>
      <c r="AN37" s="80"/>
      <c r="AO37" s="80"/>
      <c r="AP37" s="80"/>
      <c r="AQ37" s="45"/>
      <c r="AR37" s="45"/>
      <c r="AS37" s="45"/>
      <c r="AT37" s="45"/>
      <c r="AU37" s="45"/>
      <c r="AV37" s="45"/>
      <c r="AW37" s="45"/>
      <c r="AX37" s="45"/>
      <c r="AY37" s="45"/>
      <c r="AZ37" s="45"/>
      <c r="BA37" s="45"/>
      <c r="BB37" s="45"/>
    </row>
    <row r="38" spans="1:54" ht="48.75" hidden="1" customHeight="1">
      <c r="A38" s="90" t="s">
        <v>374</v>
      </c>
      <c r="B38" s="91"/>
      <c r="C38" s="91"/>
      <c r="D38" s="45"/>
      <c r="E38" s="50"/>
      <c r="F38" s="50"/>
      <c r="G38" s="51"/>
      <c r="H38" s="45"/>
      <c r="I38" s="52"/>
      <c r="J38" s="45"/>
      <c r="K38" s="45"/>
      <c r="L38" s="45"/>
      <c r="M38" s="52"/>
      <c r="N38" s="45"/>
      <c r="O38" s="45"/>
      <c r="P38" s="45"/>
      <c r="Q38" s="45"/>
      <c r="R38" s="50"/>
      <c r="S38" s="45"/>
      <c r="T38" s="51"/>
      <c r="U38" s="51"/>
      <c r="V38" s="51"/>
      <c r="W38" s="51"/>
      <c r="X38" s="51"/>
      <c r="Y38" s="51"/>
      <c r="Z38" s="51"/>
      <c r="AA38" s="51"/>
      <c r="AB38" s="51"/>
      <c r="AC38" s="51"/>
      <c r="AD38" s="51"/>
      <c r="AE38" s="51"/>
      <c r="AF38" s="51"/>
      <c r="AG38" s="51"/>
      <c r="AH38" s="51"/>
      <c r="AI38" s="51"/>
      <c r="AJ38" s="51"/>
      <c r="AK38" s="51"/>
      <c r="AL38" s="51"/>
      <c r="AM38" s="51"/>
      <c r="AN38" s="51"/>
      <c r="AO38" s="51"/>
      <c r="AP38" s="51"/>
      <c r="AQ38" s="45"/>
      <c r="AR38" s="45"/>
      <c r="AS38" s="45"/>
      <c r="AT38" s="45"/>
      <c r="AU38" s="45"/>
      <c r="AV38" s="45"/>
      <c r="AW38" s="45"/>
      <c r="AX38" s="45"/>
      <c r="AY38" s="45"/>
      <c r="AZ38" s="45"/>
      <c r="BA38" s="45"/>
      <c r="BB38" s="45"/>
    </row>
    <row r="39" spans="1:54" ht="12.75" customHeight="1">
      <c r="A39" s="50"/>
      <c r="B39" s="50"/>
      <c r="C39" s="51"/>
      <c r="D39" s="45"/>
      <c r="E39" s="50"/>
      <c r="F39" s="50"/>
      <c r="G39" s="51"/>
      <c r="H39" s="45"/>
      <c r="I39" s="52"/>
      <c r="J39" s="45"/>
      <c r="K39" s="45"/>
      <c r="L39" s="45"/>
      <c r="M39" s="52"/>
      <c r="N39" s="45"/>
      <c r="O39" s="45"/>
      <c r="P39" s="45"/>
      <c r="Q39" s="45"/>
      <c r="R39" s="50"/>
      <c r="S39" s="45"/>
      <c r="T39" s="51"/>
      <c r="U39" s="53"/>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row>
    <row r="40" spans="1:54" ht="12.75" customHeight="1">
      <c r="A40" s="51"/>
      <c r="B40" s="50"/>
      <c r="C40" s="51"/>
      <c r="D40" s="45"/>
      <c r="E40" s="50"/>
      <c r="F40" s="50"/>
      <c r="G40" s="51"/>
      <c r="H40" s="45"/>
      <c r="I40" s="52"/>
      <c r="J40" s="45"/>
      <c r="K40" s="45"/>
      <c r="L40" s="45"/>
      <c r="M40" s="52"/>
      <c r="N40" s="45"/>
      <c r="O40" s="45"/>
      <c r="P40" s="45"/>
      <c r="Q40" s="45"/>
      <c r="R40" s="50"/>
      <c r="S40" s="45"/>
      <c r="T40" s="51"/>
      <c r="U40" s="53"/>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row>
    <row r="41" spans="1:54" ht="12.75" customHeight="1">
      <c r="A41" s="50"/>
      <c r="B41" s="50"/>
      <c r="C41" s="51"/>
      <c r="D41" s="45"/>
      <c r="E41" s="50"/>
      <c r="F41" s="50"/>
      <c r="G41" s="51"/>
      <c r="H41" s="45"/>
      <c r="I41" s="52"/>
      <c r="J41" s="45"/>
      <c r="K41" s="45"/>
      <c r="L41" s="45"/>
      <c r="M41" s="52"/>
      <c r="N41" s="45"/>
      <c r="O41" s="45"/>
      <c r="P41" s="45"/>
      <c r="Q41" s="45"/>
      <c r="R41" s="50"/>
      <c r="S41" s="45"/>
      <c r="T41" s="51"/>
      <c r="U41" s="53"/>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row>
    <row r="42" spans="1:54" ht="12.75" customHeight="1">
      <c r="A42" s="50"/>
      <c r="B42" s="50"/>
      <c r="C42" s="51"/>
      <c r="D42" s="45"/>
      <c r="E42" s="50"/>
      <c r="F42" s="50"/>
      <c r="G42" s="51"/>
      <c r="H42" s="45"/>
      <c r="I42" s="52"/>
      <c r="J42" s="45"/>
      <c r="K42" s="45"/>
      <c r="L42" s="45"/>
      <c r="M42" s="52"/>
      <c r="N42" s="45"/>
      <c r="O42" s="45"/>
      <c r="P42" s="45"/>
      <c r="Q42" s="45"/>
      <c r="R42" s="50"/>
      <c r="S42" s="45"/>
      <c r="T42" s="51"/>
      <c r="U42" s="53"/>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row>
    <row r="43" spans="1:54" ht="12.75" customHeight="1">
      <c r="A43" s="50"/>
      <c r="B43" s="50"/>
      <c r="C43" s="51"/>
      <c r="D43" s="45"/>
      <c r="E43" s="50"/>
      <c r="F43" s="50"/>
      <c r="G43" s="51"/>
      <c r="H43" s="45"/>
      <c r="I43" s="52"/>
      <c r="J43" s="45"/>
      <c r="K43" s="45"/>
      <c r="L43" s="45"/>
      <c r="M43" s="52"/>
      <c r="N43" s="45"/>
      <c r="O43" s="45"/>
      <c r="P43" s="45"/>
      <c r="Q43" s="45"/>
      <c r="R43" s="50"/>
      <c r="S43" s="45"/>
      <c r="T43" s="51"/>
      <c r="U43" s="53"/>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row>
    <row r="44" spans="1:54" ht="12.75" customHeight="1">
      <c r="A44" s="50"/>
      <c r="B44" s="50"/>
      <c r="C44" s="51"/>
      <c r="D44" s="45"/>
      <c r="E44" s="50"/>
      <c r="F44" s="50"/>
      <c r="G44" s="51"/>
      <c r="H44" s="45"/>
      <c r="I44" s="52"/>
      <c r="J44" s="45"/>
      <c r="K44" s="45"/>
      <c r="L44" s="45"/>
      <c r="M44" s="52"/>
      <c r="N44" s="45"/>
      <c r="O44" s="45"/>
      <c r="P44" s="45"/>
      <c r="Q44" s="45"/>
      <c r="R44" s="50"/>
      <c r="S44" s="45"/>
      <c r="T44" s="51"/>
      <c r="U44" s="53"/>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row>
    <row r="45" spans="1:54" ht="12.75" customHeight="1">
      <c r="A45" s="50"/>
      <c r="B45" s="50"/>
      <c r="C45" s="51"/>
      <c r="D45" s="45"/>
      <c r="E45" s="50"/>
      <c r="F45" s="50"/>
      <c r="G45" s="51"/>
      <c r="H45" s="45"/>
      <c r="I45" s="52"/>
      <c r="J45" s="45"/>
      <c r="K45" s="45"/>
      <c r="L45" s="45"/>
      <c r="M45" s="52"/>
      <c r="N45" s="45"/>
      <c r="O45" s="45"/>
      <c r="P45" s="45"/>
      <c r="Q45" s="45"/>
      <c r="R45" s="50"/>
      <c r="S45" s="45"/>
      <c r="T45" s="51"/>
      <c r="U45" s="53"/>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row>
    <row r="46" spans="1:54" ht="12.75" customHeight="1">
      <c r="A46" s="50"/>
      <c r="B46" s="50"/>
      <c r="C46" s="51"/>
      <c r="D46" s="45"/>
      <c r="E46" s="50"/>
      <c r="F46" s="50"/>
      <c r="G46" s="51"/>
      <c r="H46" s="45"/>
      <c r="I46" s="52"/>
      <c r="J46" s="45"/>
      <c r="K46" s="45"/>
      <c r="L46" s="45"/>
      <c r="M46" s="52"/>
      <c r="N46" s="45"/>
      <c r="O46" s="45"/>
      <c r="P46" s="45"/>
      <c r="Q46" s="45"/>
      <c r="R46" s="50"/>
      <c r="S46" s="45"/>
      <c r="T46" s="51"/>
      <c r="U46" s="53"/>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ht="12.75" customHeight="1">
      <c r="A47" s="50"/>
      <c r="B47" s="50"/>
      <c r="C47" s="51"/>
      <c r="D47" s="45"/>
      <c r="E47" s="50"/>
      <c r="F47" s="50"/>
      <c r="G47" s="51"/>
      <c r="H47" s="45"/>
      <c r="I47" s="52"/>
      <c r="J47" s="45"/>
      <c r="K47" s="45"/>
      <c r="L47" s="45"/>
      <c r="M47" s="52"/>
      <c r="N47" s="45"/>
      <c r="O47" s="45"/>
      <c r="P47" s="45"/>
      <c r="Q47" s="45"/>
      <c r="R47" s="50"/>
      <c r="S47" s="45"/>
      <c r="T47" s="51"/>
      <c r="U47" s="53"/>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ht="12.75" customHeight="1">
      <c r="A48" s="50"/>
      <c r="B48" s="50"/>
      <c r="C48" s="51"/>
      <c r="D48" s="45"/>
      <c r="E48" s="50"/>
      <c r="F48" s="50"/>
      <c r="G48" s="51"/>
      <c r="H48" s="45"/>
      <c r="I48" s="52"/>
      <c r="J48" s="45"/>
      <c r="K48" s="45"/>
      <c r="L48" s="45"/>
      <c r="M48" s="52"/>
      <c r="N48" s="45"/>
      <c r="O48" s="45"/>
      <c r="P48" s="45"/>
      <c r="Q48" s="45"/>
      <c r="R48" s="50"/>
      <c r="S48" s="45"/>
      <c r="T48" s="51"/>
      <c r="U48" s="53"/>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row>
    <row r="49" spans="1:54" ht="12.75" customHeight="1">
      <c r="A49" s="50"/>
      <c r="B49" s="50"/>
      <c r="C49" s="51"/>
      <c r="D49" s="45"/>
      <c r="E49" s="50"/>
      <c r="F49" s="50"/>
      <c r="G49" s="51"/>
      <c r="H49" s="45"/>
      <c r="I49" s="52"/>
      <c r="J49" s="45"/>
      <c r="K49" s="45"/>
      <c r="L49" s="45"/>
      <c r="M49" s="52"/>
      <c r="N49" s="45"/>
      <c r="O49" s="45"/>
      <c r="P49" s="45"/>
      <c r="Q49" s="45"/>
      <c r="R49" s="50"/>
      <c r="S49" s="45"/>
      <c r="T49" s="51"/>
      <c r="U49" s="53"/>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row>
    <row r="50" spans="1:54" ht="12.75" customHeight="1">
      <c r="A50" s="50"/>
      <c r="B50" s="50"/>
      <c r="C50" s="51"/>
      <c r="D50" s="45"/>
      <c r="E50" s="50"/>
      <c r="F50" s="50"/>
      <c r="G50" s="51"/>
      <c r="H50" s="45"/>
      <c r="I50" s="52"/>
      <c r="J50" s="45"/>
      <c r="K50" s="45"/>
      <c r="L50" s="45"/>
      <c r="M50" s="52"/>
      <c r="N50" s="45"/>
      <c r="O50" s="45"/>
      <c r="P50" s="45"/>
      <c r="Q50" s="45"/>
      <c r="R50" s="50"/>
      <c r="S50" s="45"/>
      <c r="T50" s="51"/>
      <c r="U50" s="53"/>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row>
    <row r="51" spans="1:54" ht="12.75" customHeight="1">
      <c r="A51" s="50"/>
      <c r="B51" s="50"/>
      <c r="C51" s="51"/>
      <c r="D51" s="45"/>
      <c r="E51" s="50"/>
      <c r="F51" s="50"/>
      <c r="G51" s="51"/>
      <c r="H51" s="45"/>
      <c r="I51" s="52"/>
      <c r="J51" s="45"/>
      <c r="K51" s="45"/>
      <c r="L51" s="45"/>
      <c r="M51" s="52"/>
      <c r="N51" s="45"/>
      <c r="O51" s="45"/>
      <c r="P51" s="45"/>
      <c r="Q51" s="45"/>
      <c r="R51" s="50"/>
      <c r="S51" s="45"/>
      <c r="T51" s="51"/>
      <c r="U51" s="53"/>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row>
    <row r="52" spans="1:54" ht="12.75" customHeight="1">
      <c r="A52" s="50"/>
      <c r="B52" s="50"/>
      <c r="C52" s="51"/>
      <c r="D52" s="45"/>
      <c r="E52" s="50"/>
      <c r="F52" s="50"/>
      <c r="G52" s="51"/>
      <c r="H52" s="45"/>
      <c r="I52" s="52"/>
      <c r="J52" s="45"/>
      <c r="K52" s="45"/>
      <c r="L52" s="45"/>
      <c r="M52" s="52"/>
      <c r="N52" s="45"/>
      <c r="O52" s="45"/>
      <c r="P52" s="45"/>
      <c r="Q52" s="45"/>
      <c r="R52" s="50"/>
      <c r="S52" s="45"/>
      <c r="T52" s="51"/>
      <c r="U52" s="53"/>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row>
    <row r="53" spans="1:54" ht="12.75" customHeight="1">
      <c r="A53" s="50"/>
      <c r="B53" s="50"/>
      <c r="C53" s="51"/>
      <c r="D53" s="45"/>
      <c r="E53" s="50"/>
      <c r="F53" s="50"/>
      <c r="G53" s="51"/>
      <c r="H53" s="45"/>
      <c r="I53" s="52"/>
      <c r="J53" s="45"/>
      <c r="K53" s="45"/>
      <c r="L53" s="45"/>
      <c r="M53" s="52"/>
      <c r="N53" s="45"/>
      <c r="O53" s="45"/>
      <c r="P53" s="45"/>
      <c r="Q53" s="45"/>
      <c r="R53" s="50"/>
      <c r="S53" s="45"/>
      <c r="T53" s="51"/>
      <c r="U53" s="53"/>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row>
    <row r="54" spans="1:54" ht="12.75" customHeight="1">
      <c r="A54" s="50"/>
      <c r="B54" s="50"/>
      <c r="C54" s="51"/>
      <c r="D54" s="45"/>
      <c r="E54" s="50"/>
      <c r="F54" s="50"/>
      <c r="G54" s="51"/>
      <c r="H54" s="45"/>
      <c r="I54" s="52"/>
      <c r="J54" s="45"/>
      <c r="K54" s="45"/>
      <c r="L54" s="45"/>
      <c r="M54" s="52"/>
      <c r="N54" s="45"/>
      <c r="O54" s="45"/>
      <c r="P54" s="45"/>
      <c r="Q54" s="45"/>
      <c r="R54" s="50"/>
      <c r="S54" s="45"/>
      <c r="T54" s="51"/>
      <c r="U54" s="53"/>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row>
    <row r="55" spans="1:54" ht="12.75" customHeight="1">
      <c r="A55" s="50"/>
      <c r="B55" s="50"/>
      <c r="C55" s="51"/>
      <c r="D55" s="45"/>
      <c r="E55" s="50"/>
      <c r="F55" s="50"/>
      <c r="G55" s="51"/>
      <c r="H55" s="45"/>
      <c r="I55" s="52"/>
      <c r="J55" s="45"/>
      <c r="K55" s="45"/>
      <c r="L55" s="45"/>
      <c r="M55" s="52"/>
      <c r="N55" s="45"/>
      <c r="O55" s="45"/>
      <c r="P55" s="45"/>
      <c r="Q55" s="45"/>
      <c r="R55" s="50"/>
      <c r="S55" s="45"/>
      <c r="T55" s="51"/>
      <c r="U55" s="53"/>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ht="12.75" customHeight="1">
      <c r="A56" s="50"/>
      <c r="B56" s="50"/>
      <c r="C56" s="51"/>
      <c r="D56" s="45"/>
      <c r="E56" s="50"/>
      <c r="F56" s="50"/>
      <c r="G56" s="51"/>
      <c r="H56" s="45"/>
      <c r="I56" s="52"/>
      <c r="J56" s="45"/>
      <c r="K56" s="45"/>
      <c r="L56" s="45"/>
      <c r="M56" s="52"/>
      <c r="N56" s="45"/>
      <c r="O56" s="45"/>
      <c r="P56" s="45"/>
      <c r="Q56" s="45"/>
      <c r="R56" s="50"/>
      <c r="S56" s="45"/>
      <c r="T56" s="51"/>
      <c r="U56" s="53"/>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ht="12.75" customHeight="1">
      <c r="A57" s="50"/>
      <c r="B57" s="50"/>
      <c r="C57" s="51"/>
      <c r="D57" s="45"/>
      <c r="E57" s="50"/>
      <c r="F57" s="50"/>
      <c r="G57" s="51"/>
      <c r="H57" s="45"/>
      <c r="I57" s="52"/>
      <c r="J57" s="45"/>
      <c r="K57" s="45"/>
      <c r="L57" s="45"/>
      <c r="M57" s="52"/>
      <c r="N57" s="45"/>
      <c r="O57" s="45"/>
      <c r="P57" s="45"/>
      <c r="Q57" s="45"/>
      <c r="R57" s="50"/>
      <c r="S57" s="45"/>
      <c r="T57" s="51"/>
      <c r="U57" s="53"/>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ht="12.75" customHeight="1">
      <c r="A58" s="50"/>
      <c r="B58" s="50"/>
      <c r="C58" s="51"/>
      <c r="D58" s="45"/>
      <c r="E58" s="50"/>
      <c r="F58" s="50"/>
      <c r="G58" s="51"/>
      <c r="H58" s="45"/>
      <c r="I58" s="52"/>
      <c r="J58" s="45"/>
      <c r="K58" s="45"/>
      <c r="L58" s="45"/>
      <c r="M58" s="52"/>
      <c r="N58" s="45"/>
      <c r="O58" s="45"/>
      <c r="P58" s="45"/>
      <c r="Q58" s="45"/>
      <c r="R58" s="50"/>
      <c r="S58" s="45"/>
      <c r="T58" s="51"/>
      <c r="U58" s="53"/>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ht="12.75" customHeight="1">
      <c r="A59" s="50"/>
      <c r="B59" s="50"/>
      <c r="C59" s="51"/>
      <c r="D59" s="45"/>
      <c r="E59" s="50"/>
      <c r="F59" s="50"/>
      <c r="G59" s="51"/>
      <c r="H59" s="45"/>
      <c r="I59" s="52"/>
      <c r="J59" s="45"/>
      <c r="K59" s="45"/>
      <c r="L59" s="45"/>
      <c r="M59" s="52"/>
      <c r="N59" s="45"/>
      <c r="O59" s="45"/>
      <c r="P59" s="45"/>
      <c r="Q59" s="45"/>
      <c r="R59" s="50"/>
      <c r="S59" s="45"/>
      <c r="T59" s="51"/>
      <c r="U59" s="53"/>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ht="12.75" customHeight="1">
      <c r="A60" s="50"/>
      <c r="B60" s="50"/>
      <c r="C60" s="51"/>
      <c r="D60" s="45"/>
      <c r="E60" s="50"/>
      <c r="F60" s="50"/>
      <c r="G60" s="51"/>
      <c r="H60" s="45"/>
      <c r="I60" s="52"/>
      <c r="J60" s="45"/>
      <c r="K60" s="45"/>
      <c r="L60" s="45"/>
      <c r="M60" s="52"/>
      <c r="N60" s="45"/>
      <c r="O60" s="45"/>
      <c r="P60" s="45"/>
      <c r="Q60" s="45"/>
      <c r="R60" s="50"/>
      <c r="S60" s="45"/>
      <c r="T60" s="51"/>
      <c r="U60" s="53"/>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ht="12.75" customHeight="1">
      <c r="A61" s="50"/>
      <c r="B61" s="50"/>
      <c r="C61" s="51"/>
      <c r="D61" s="45"/>
      <c r="E61" s="50"/>
      <c r="F61" s="50"/>
      <c r="G61" s="51"/>
      <c r="H61" s="45"/>
      <c r="I61" s="52"/>
      <c r="J61" s="45"/>
      <c r="K61" s="45"/>
      <c r="L61" s="45"/>
      <c r="M61" s="52"/>
      <c r="N61" s="45"/>
      <c r="O61" s="45"/>
      <c r="P61" s="45"/>
      <c r="Q61" s="45"/>
      <c r="R61" s="50"/>
      <c r="S61" s="45"/>
      <c r="T61" s="51"/>
      <c r="U61" s="53"/>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ht="12.75" customHeight="1">
      <c r="A62" s="50"/>
      <c r="B62" s="50"/>
      <c r="C62" s="51"/>
      <c r="D62" s="45"/>
      <c r="E62" s="50"/>
      <c r="F62" s="50"/>
      <c r="G62" s="51"/>
      <c r="H62" s="45"/>
      <c r="I62" s="52"/>
      <c r="J62" s="45"/>
      <c r="K62" s="45"/>
      <c r="L62" s="45"/>
      <c r="M62" s="52"/>
      <c r="N62" s="45"/>
      <c r="O62" s="45"/>
      <c r="P62" s="45"/>
      <c r="Q62" s="45"/>
      <c r="R62" s="50"/>
      <c r="S62" s="45"/>
      <c r="T62" s="51"/>
      <c r="U62" s="53"/>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ht="12.75" customHeight="1">
      <c r="A63" s="50"/>
      <c r="B63" s="50"/>
      <c r="C63" s="51"/>
      <c r="D63" s="45"/>
      <c r="E63" s="50"/>
      <c r="F63" s="50"/>
      <c r="G63" s="51"/>
      <c r="H63" s="45"/>
      <c r="I63" s="52"/>
      <c r="J63" s="45"/>
      <c r="K63" s="45"/>
      <c r="L63" s="45"/>
      <c r="M63" s="52"/>
      <c r="N63" s="45"/>
      <c r="O63" s="45"/>
      <c r="P63" s="45"/>
      <c r="Q63" s="45"/>
      <c r="R63" s="50"/>
      <c r="S63" s="45"/>
      <c r="T63" s="51"/>
      <c r="U63" s="53"/>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ht="12.75" customHeight="1">
      <c r="A64" s="50"/>
      <c r="B64" s="50"/>
      <c r="C64" s="51"/>
      <c r="D64" s="45"/>
      <c r="E64" s="50"/>
      <c r="F64" s="50"/>
      <c r="G64" s="51"/>
      <c r="H64" s="45"/>
      <c r="I64" s="52"/>
      <c r="J64" s="45"/>
      <c r="K64" s="45"/>
      <c r="L64" s="45"/>
      <c r="M64" s="52"/>
      <c r="N64" s="45"/>
      <c r="O64" s="45"/>
      <c r="P64" s="45"/>
      <c r="Q64" s="45"/>
      <c r="R64" s="50"/>
      <c r="S64" s="45"/>
      <c r="T64" s="51"/>
      <c r="U64" s="53"/>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ht="12.75" customHeight="1">
      <c r="A65" s="50"/>
      <c r="B65" s="50"/>
      <c r="C65" s="51"/>
      <c r="D65" s="45"/>
      <c r="E65" s="50"/>
      <c r="F65" s="50"/>
      <c r="G65" s="51"/>
      <c r="H65" s="45"/>
      <c r="I65" s="52"/>
      <c r="J65" s="45"/>
      <c r="K65" s="45"/>
      <c r="L65" s="45"/>
      <c r="M65" s="52"/>
      <c r="N65" s="45"/>
      <c r="O65" s="45"/>
      <c r="P65" s="45"/>
      <c r="Q65" s="45"/>
      <c r="R65" s="50"/>
      <c r="S65" s="45"/>
      <c r="T65" s="51"/>
      <c r="U65" s="53"/>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ht="12.75" customHeight="1">
      <c r="A66" s="50"/>
      <c r="B66" s="50"/>
      <c r="C66" s="51"/>
      <c r="D66" s="45"/>
      <c r="E66" s="50"/>
      <c r="F66" s="50"/>
      <c r="G66" s="51"/>
      <c r="H66" s="45"/>
      <c r="I66" s="52"/>
      <c r="J66" s="45"/>
      <c r="K66" s="45"/>
      <c r="L66" s="45"/>
      <c r="M66" s="52"/>
      <c r="N66" s="45"/>
      <c r="O66" s="45"/>
      <c r="P66" s="45"/>
      <c r="Q66" s="45"/>
      <c r="R66" s="50"/>
      <c r="S66" s="45"/>
      <c r="T66" s="51"/>
      <c r="U66" s="53"/>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ht="12.75" customHeight="1">
      <c r="A67" s="50"/>
      <c r="B67" s="50"/>
      <c r="C67" s="51"/>
      <c r="D67" s="45"/>
      <c r="E67" s="50"/>
      <c r="F67" s="50"/>
      <c r="G67" s="51"/>
      <c r="H67" s="45"/>
      <c r="I67" s="52"/>
      <c r="J67" s="45"/>
      <c r="K67" s="45"/>
      <c r="L67" s="45"/>
      <c r="M67" s="52"/>
      <c r="N67" s="45"/>
      <c r="O67" s="45"/>
      <c r="P67" s="45"/>
      <c r="Q67" s="45"/>
      <c r="R67" s="50"/>
      <c r="S67" s="45"/>
      <c r="T67" s="51"/>
      <c r="U67" s="53"/>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ht="12.75" customHeight="1">
      <c r="A68" s="50"/>
      <c r="B68" s="50"/>
      <c r="C68" s="51"/>
      <c r="D68" s="45"/>
      <c r="E68" s="50"/>
      <c r="F68" s="50"/>
      <c r="G68" s="51"/>
      <c r="H68" s="45"/>
      <c r="I68" s="52"/>
      <c r="J68" s="45"/>
      <c r="K68" s="45"/>
      <c r="L68" s="45"/>
      <c r="M68" s="52"/>
      <c r="N68" s="45"/>
      <c r="O68" s="45"/>
      <c r="P68" s="45"/>
      <c r="Q68" s="45"/>
      <c r="R68" s="50"/>
      <c r="S68" s="45"/>
      <c r="T68" s="51"/>
      <c r="U68" s="53"/>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ht="12.75" customHeight="1">
      <c r="A69" s="50"/>
      <c r="B69" s="50"/>
      <c r="C69" s="51"/>
      <c r="D69" s="45"/>
      <c r="E69" s="50"/>
      <c r="F69" s="50"/>
      <c r="G69" s="51"/>
      <c r="H69" s="45"/>
      <c r="I69" s="52"/>
      <c r="J69" s="45"/>
      <c r="K69" s="45"/>
      <c r="L69" s="45"/>
      <c r="M69" s="52"/>
      <c r="N69" s="45"/>
      <c r="O69" s="45"/>
      <c r="P69" s="45"/>
      <c r="Q69" s="45"/>
      <c r="R69" s="50"/>
      <c r="S69" s="45"/>
      <c r="T69" s="51"/>
      <c r="U69" s="53"/>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ht="12.75" customHeight="1">
      <c r="A70" s="50"/>
      <c r="B70" s="50"/>
      <c r="C70" s="51"/>
      <c r="D70" s="45"/>
      <c r="E70" s="50"/>
      <c r="F70" s="50"/>
      <c r="G70" s="51"/>
      <c r="H70" s="45"/>
      <c r="I70" s="52"/>
      <c r="J70" s="45"/>
      <c r="K70" s="45"/>
      <c r="L70" s="45"/>
      <c r="M70" s="52"/>
      <c r="N70" s="45"/>
      <c r="O70" s="45"/>
      <c r="P70" s="45"/>
      <c r="Q70" s="45"/>
      <c r="R70" s="50"/>
      <c r="S70" s="45"/>
      <c r="T70" s="51"/>
      <c r="U70" s="53"/>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ht="12.75" customHeight="1">
      <c r="A71" s="50"/>
      <c r="B71" s="50"/>
      <c r="C71" s="51"/>
      <c r="D71" s="45"/>
      <c r="E71" s="50"/>
      <c r="F71" s="50"/>
      <c r="G71" s="51"/>
      <c r="H71" s="45"/>
      <c r="I71" s="52"/>
      <c r="J71" s="45"/>
      <c r="K71" s="45"/>
      <c r="L71" s="45"/>
      <c r="M71" s="52"/>
      <c r="N71" s="45"/>
      <c r="O71" s="45"/>
      <c r="P71" s="45"/>
      <c r="Q71" s="45"/>
      <c r="R71" s="50"/>
      <c r="S71" s="45"/>
      <c r="T71" s="51"/>
      <c r="U71" s="53"/>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ht="12.75" customHeight="1">
      <c r="A72" s="50"/>
      <c r="B72" s="50"/>
      <c r="C72" s="51"/>
      <c r="D72" s="45"/>
      <c r="E72" s="50"/>
      <c r="F72" s="50"/>
      <c r="G72" s="51"/>
      <c r="H72" s="45"/>
      <c r="I72" s="52"/>
      <c r="J72" s="45"/>
      <c r="K72" s="45"/>
      <c r="L72" s="45"/>
      <c r="M72" s="52"/>
      <c r="N72" s="45"/>
      <c r="O72" s="45"/>
      <c r="P72" s="45"/>
      <c r="Q72" s="45"/>
      <c r="R72" s="50"/>
      <c r="S72" s="45"/>
      <c r="T72" s="51"/>
      <c r="U72" s="53"/>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ht="12.75" customHeight="1">
      <c r="A73" s="50"/>
      <c r="B73" s="50"/>
      <c r="C73" s="51"/>
      <c r="D73" s="45"/>
      <c r="E73" s="50"/>
      <c r="F73" s="50"/>
      <c r="G73" s="51"/>
      <c r="H73" s="45"/>
      <c r="I73" s="52"/>
      <c r="J73" s="45"/>
      <c r="K73" s="45"/>
      <c r="L73" s="45"/>
      <c r="M73" s="52"/>
      <c r="N73" s="45"/>
      <c r="O73" s="45"/>
      <c r="P73" s="45"/>
      <c r="Q73" s="45"/>
      <c r="R73" s="50"/>
      <c r="S73" s="45"/>
      <c r="T73" s="51"/>
      <c r="U73" s="53"/>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ht="12.75" customHeight="1">
      <c r="A74" s="50"/>
      <c r="B74" s="50"/>
      <c r="C74" s="51"/>
      <c r="D74" s="45"/>
      <c r="E74" s="50"/>
      <c r="F74" s="50"/>
      <c r="G74" s="51"/>
      <c r="H74" s="45"/>
      <c r="I74" s="52"/>
      <c r="J74" s="45"/>
      <c r="K74" s="45"/>
      <c r="L74" s="45"/>
      <c r="M74" s="52"/>
      <c r="N74" s="45"/>
      <c r="O74" s="45"/>
      <c r="P74" s="45"/>
      <c r="Q74" s="45"/>
      <c r="R74" s="50"/>
      <c r="S74" s="45"/>
      <c r="T74" s="51"/>
      <c r="U74" s="53"/>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ht="12.75" customHeight="1">
      <c r="A75" s="50"/>
      <c r="B75" s="50"/>
      <c r="C75" s="51"/>
      <c r="D75" s="45"/>
      <c r="E75" s="50"/>
      <c r="F75" s="50"/>
      <c r="G75" s="51"/>
      <c r="H75" s="45"/>
      <c r="I75" s="52"/>
      <c r="J75" s="45"/>
      <c r="K75" s="45"/>
      <c r="L75" s="45"/>
      <c r="M75" s="52"/>
      <c r="N75" s="45"/>
      <c r="O75" s="45"/>
      <c r="P75" s="45"/>
      <c r="Q75" s="45"/>
      <c r="R75" s="50"/>
      <c r="S75" s="45"/>
      <c r="T75" s="51"/>
      <c r="U75" s="53"/>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ht="12.75" customHeight="1">
      <c r="A76" s="50"/>
      <c r="B76" s="50"/>
      <c r="C76" s="51"/>
      <c r="D76" s="45"/>
      <c r="E76" s="50"/>
      <c r="F76" s="50"/>
      <c r="G76" s="51"/>
      <c r="H76" s="45"/>
      <c r="I76" s="52"/>
      <c r="J76" s="45"/>
      <c r="K76" s="45"/>
      <c r="L76" s="45"/>
      <c r="M76" s="52"/>
      <c r="N76" s="45"/>
      <c r="O76" s="45"/>
      <c r="P76" s="45"/>
      <c r="Q76" s="45"/>
      <c r="R76" s="50"/>
      <c r="S76" s="45"/>
      <c r="T76" s="51"/>
      <c r="U76" s="53"/>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ht="12.75" customHeight="1">
      <c r="A77" s="50"/>
      <c r="B77" s="50"/>
      <c r="C77" s="51"/>
      <c r="D77" s="45"/>
      <c r="E77" s="50"/>
      <c r="F77" s="50"/>
      <c r="G77" s="51"/>
      <c r="H77" s="45"/>
      <c r="I77" s="52"/>
      <c r="J77" s="45"/>
      <c r="K77" s="45"/>
      <c r="L77" s="45"/>
      <c r="M77" s="52"/>
      <c r="N77" s="45"/>
      <c r="O77" s="45"/>
      <c r="P77" s="45"/>
      <c r="Q77" s="45"/>
      <c r="R77" s="50"/>
      <c r="S77" s="45"/>
      <c r="T77" s="51"/>
      <c r="U77" s="53"/>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ht="12.75" customHeight="1">
      <c r="A78" s="50"/>
      <c r="B78" s="50"/>
      <c r="C78" s="51"/>
      <c r="D78" s="45"/>
      <c r="E78" s="50"/>
      <c r="F78" s="50"/>
      <c r="G78" s="51"/>
      <c r="H78" s="45"/>
      <c r="I78" s="52"/>
      <c r="J78" s="45"/>
      <c r="K78" s="45"/>
      <c r="L78" s="45"/>
      <c r="M78" s="52"/>
      <c r="N78" s="45"/>
      <c r="O78" s="45"/>
      <c r="P78" s="45"/>
      <c r="Q78" s="45"/>
      <c r="R78" s="50"/>
      <c r="S78" s="45"/>
      <c r="T78" s="51"/>
      <c r="U78" s="53"/>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ht="12.75" customHeight="1">
      <c r="A79" s="50"/>
      <c r="B79" s="50"/>
      <c r="C79" s="51"/>
      <c r="D79" s="45"/>
      <c r="E79" s="50"/>
      <c r="F79" s="50"/>
      <c r="G79" s="51"/>
      <c r="H79" s="45"/>
      <c r="I79" s="52"/>
      <c r="J79" s="45"/>
      <c r="K79" s="45"/>
      <c r="L79" s="45"/>
      <c r="M79" s="52"/>
      <c r="N79" s="45"/>
      <c r="O79" s="45"/>
      <c r="P79" s="45"/>
      <c r="Q79" s="45"/>
      <c r="R79" s="50"/>
      <c r="S79" s="45"/>
      <c r="T79" s="51"/>
      <c r="U79" s="53"/>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ht="12.75" customHeight="1">
      <c r="A80" s="50"/>
      <c r="B80" s="50"/>
      <c r="C80" s="51"/>
      <c r="D80" s="45"/>
      <c r="E80" s="50"/>
      <c r="F80" s="50"/>
      <c r="G80" s="51"/>
      <c r="H80" s="45"/>
      <c r="I80" s="52"/>
      <c r="J80" s="45"/>
      <c r="K80" s="45"/>
      <c r="L80" s="45"/>
      <c r="M80" s="52"/>
      <c r="N80" s="45"/>
      <c r="O80" s="45"/>
      <c r="P80" s="45"/>
      <c r="Q80" s="45"/>
      <c r="R80" s="50"/>
      <c r="S80" s="45"/>
      <c r="T80" s="51"/>
      <c r="U80" s="53"/>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ht="12.75" customHeight="1">
      <c r="A81" s="50"/>
      <c r="B81" s="50"/>
      <c r="C81" s="51"/>
      <c r="D81" s="45"/>
      <c r="E81" s="50"/>
      <c r="F81" s="50"/>
      <c r="G81" s="51"/>
      <c r="H81" s="45"/>
      <c r="I81" s="52"/>
      <c r="J81" s="45"/>
      <c r="K81" s="45"/>
      <c r="L81" s="45"/>
      <c r="M81" s="52"/>
      <c r="N81" s="45"/>
      <c r="O81" s="45"/>
      <c r="P81" s="45"/>
      <c r="Q81" s="45"/>
      <c r="R81" s="50"/>
      <c r="S81" s="45"/>
      <c r="T81" s="51"/>
      <c r="U81" s="53"/>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ht="12.75" customHeight="1">
      <c r="A82" s="50"/>
      <c r="B82" s="50"/>
      <c r="C82" s="51"/>
      <c r="D82" s="45"/>
      <c r="E82" s="50"/>
      <c r="F82" s="50"/>
      <c r="G82" s="51"/>
      <c r="H82" s="45"/>
      <c r="I82" s="52"/>
      <c r="J82" s="45"/>
      <c r="K82" s="45"/>
      <c r="L82" s="45"/>
      <c r="M82" s="52"/>
      <c r="N82" s="45"/>
      <c r="O82" s="45"/>
      <c r="P82" s="45"/>
      <c r="Q82" s="45"/>
      <c r="R82" s="50"/>
      <c r="S82" s="45"/>
      <c r="T82" s="51"/>
      <c r="U82" s="53"/>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ht="12.75" customHeight="1">
      <c r="A83" s="50"/>
      <c r="B83" s="50"/>
      <c r="C83" s="51"/>
      <c r="D83" s="45"/>
      <c r="E83" s="50"/>
      <c r="F83" s="50"/>
      <c r="G83" s="51"/>
      <c r="H83" s="45"/>
      <c r="I83" s="52"/>
      <c r="J83" s="45"/>
      <c r="K83" s="45"/>
      <c r="L83" s="45"/>
      <c r="M83" s="52"/>
      <c r="N83" s="45"/>
      <c r="O83" s="45"/>
      <c r="P83" s="45"/>
      <c r="Q83" s="45"/>
      <c r="R83" s="50"/>
      <c r="S83" s="45"/>
      <c r="T83" s="51"/>
      <c r="U83" s="53"/>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ht="12.75" customHeight="1">
      <c r="A84" s="50"/>
      <c r="B84" s="50"/>
      <c r="C84" s="51"/>
      <c r="D84" s="45"/>
      <c r="E84" s="50"/>
      <c r="F84" s="50"/>
      <c r="G84" s="51"/>
      <c r="H84" s="45"/>
      <c r="I84" s="52"/>
      <c r="J84" s="45"/>
      <c r="K84" s="45"/>
      <c r="L84" s="45"/>
      <c r="M84" s="52"/>
      <c r="N84" s="45"/>
      <c r="O84" s="45"/>
      <c r="P84" s="45"/>
      <c r="Q84" s="45"/>
      <c r="R84" s="50"/>
      <c r="S84" s="45"/>
      <c r="T84" s="51"/>
      <c r="U84" s="53"/>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ht="12.75" customHeight="1">
      <c r="A85" s="50"/>
      <c r="B85" s="50"/>
      <c r="C85" s="51"/>
      <c r="D85" s="45"/>
      <c r="E85" s="50"/>
      <c r="F85" s="50"/>
      <c r="G85" s="51"/>
      <c r="H85" s="45"/>
      <c r="I85" s="52"/>
      <c r="J85" s="45"/>
      <c r="K85" s="45"/>
      <c r="L85" s="45"/>
      <c r="M85" s="52"/>
      <c r="N85" s="45"/>
      <c r="O85" s="45"/>
      <c r="P85" s="45"/>
      <c r="Q85" s="45"/>
      <c r="R85" s="50"/>
      <c r="S85" s="45"/>
      <c r="T85" s="51"/>
      <c r="U85" s="53"/>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ht="12.75" customHeight="1">
      <c r="A86" s="50"/>
      <c r="B86" s="50"/>
      <c r="C86" s="51"/>
      <c r="D86" s="45"/>
      <c r="E86" s="50"/>
      <c r="F86" s="50"/>
      <c r="G86" s="51"/>
      <c r="H86" s="45"/>
      <c r="I86" s="52"/>
      <c r="J86" s="45"/>
      <c r="K86" s="45"/>
      <c r="L86" s="45"/>
      <c r="M86" s="52"/>
      <c r="N86" s="45"/>
      <c r="O86" s="45"/>
      <c r="P86" s="45"/>
      <c r="Q86" s="45"/>
      <c r="R86" s="50"/>
      <c r="S86" s="45"/>
      <c r="T86" s="51"/>
      <c r="U86" s="53"/>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ht="12.75" customHeight="1">
      <c r="A87" s="50"/>
      <c r="B87" s="50"/>
      <c r="C87" s="51"/>
      <c r="D87" s="45"/>
      <c r="E87" s="50"/>
      <c r="F87" s="50"/>
      <c r="G87" s="51"/>
      <c r="H87" s="45"/>
      <c r="I87" s="52"/>
      <c r="J87" s="45"/>
      <c r="K87" s="45"/>
      <c r="L87" s="45"/>
      <c r="M87" s="52"/>
      <c r="N87" s="45"/>
      <c r="O87" s="45"/>
      <c r="P87" s="45"/>
      <c r="Q87" s="45"/>
      <c r="R87" s="50"/>
      <c r="S87" s="45"/>
      <c r="T87" s="51"/>
      <c r="U87" s="53"/>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ht="12.75" customHeight="1">
      <c r="A88" s="50"/>
      <c r="B88" s="50"/>
      <c r="C88" s="51"/>
      <c r="D88" s="45"/>
      <c r="E88" s="50"/>
      <c r="F88" s="50"/>
      <c r="G88" s="51"/>
      <c r="H88" s="45"/>
      <c r="I88" s="52"/>
      <c r="J88" s="45"/>
      <c r="K88" s="45"/>
      <c r="L88" s="45"/>
      <c r="M88" s="52"/>
      <c r="N88" s="45"/>
      <c r="O88" s="45"/>
      <c r="P88" s="45"/>
      <c r="Q88" s="45"/>
      <c r="R88" s="50"/>
      <c r="S88" s="45"/>
      <c r="T88" s="51"/>
      <c r="U88" s="53"/>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ht="12.75" customHeight="1">
      <c r="A89" s="50"/>
      <c r="B89" s="50"/>
      <c r="C89" s="51"/>
      <c r="D89" s="45"/>
      <c r="E89" s="50"/>
      <c r="F89" s="50"/>
      <c r="G89" s="51"/>
      <c r="H89" s="45"/>
      <c r="I89" s="52"/>
      <c r="J89" s="45"/>
      <c r="K89" s="45"/>
      <c r="L89" s="45"/>
      <c r="M89" s="52"/>
      <c r="N89" s="45"/>
      <c r="O89" s="45"/>
      <c r="P89" s="45"/>
      <c r="Q89" s="45"/>
      <c r="R89" s="50"/>
      <c r="S89" s="45"/>
      <c r="T89" s="51"/>
      <c r="U89" s="53"/>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ht="12.75" customHeight="1">
      <c r="A90" s="50"/>
      <c r="B90" s="50"/>
      <c r="C90" s="51"/>
      <c r="D90" s="45"/>
      <c r="E90" s="50"/>
      <c r="F90" s="50"/>
      <c r="G90" s="51"/>
      <c r="H90" s="45"/>
      <c r="I90" s="52"/>
      <c r="J90" s="45"/>
      <c r="K90" s="45"/>
      <c r="L90" s="45"/>
      <c r="M90" s="52"/>
      <c r="N90" s="45"/>
      <c r="O90" s="45"/>
      <c r="P90" s="45"/>
      <c r="Q90" s="45"/>
      <c r="R90" s="50"/>
      <c r="S90" s="45"/>
      <c r="T90" s="51"/>
      <c r="U90" s="53"/>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ht="12.75" customHeight="1">
      <c r="A91" s="50"/>
      <c r="B91" s="50"/>
      <c r="C91" s="51"/>
      <c r="D91" s="45"/>
      <c r="E91" s="50"/>
      <c r="F91" s="50"/>
      <c r="G91" s="51"/>
      <c r="H91" s="45"/>
      <c r="I91" s="52"/>
      <c r="J91" s="45"/>
      <c r="K91" s="45"/>
      <c r="L91" s="45"/>
      <c r="M91" s="52"/>
      <c r="N91" s="45"/>
      <c r="O91" s="45"/>
      <c r="P91" s="45"/>
      <c r="Q91" s="45"/>
      <c r="R91" s="50"/>
      <c r="S91" s="45"/>
      <c r="T91" s="51"/>
      <c r="U91" s="53"/>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ht="12.75" customHeight="1">
      <c r="A92" s="50"/>
      <c r="B92" s="50"/>
      <c r="C92" s="51"/>
      <c r="D92" s="45"/>
      <c r="E92" s="50"/>
      <c r="F92" s="50"/>
      <c r="G92" s="51"/>
      <c r="H92" s="45"/>
      <c r="I92" s="52"/>
      <c r="J92" s="45"/>
      <c r="K92" s="45"/>
      <c r="L92" s="45"/>
      <c r="M92" s="52"/>
      <c r="N92" s="45"/>
      <c r="O92" s="45"/>
      <c r="P92" s="45"/>
      <c r="Q92" s="45"/>
      <c r="R92" s="50"/>
      <c r="S92" s="45"/>
      <c r="T92" s="51"/>
      <c r="U92" s="53"/>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ht="12.75" customHeight="1">
      <c r="A93" s="50"/>
      <c r="B93" s="50"/>
      <c r="C93" s="51"/>
      <c r="D93" s="45"/>
      <c r="E93" s="50"/>
      <c r="F93" s="50"/>
      <c r="G93" s="51"/>
      <c r="H93" s="45"/>
      <c r="I93" s="52"/>
      <c r="J93" s="45"/>
      <c r="K93" s="45"/>
      <c r="L93" s="45"/>
      <c r="M93" s="52"/>
      <c r="N93" s="45"/>
      <c r="O93" s="45"/>
      <c r="P93" s="45"/>
      <c r="Q93" s="45"/>
      <c r="R93" s="50"/>
      <c r="S93" s="45"/>
      <c r="T93" s="51"/>
      <c r="U93" s="53"/>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ht="12.75" customHeight="1">
      <c r="A94" s="50"/>
      <c r="B94" s="50"/>
      <c r="C94" s="51"/>
      <c r="D94" s="45"/>
      <c r="E94" s="50"/>
      <c r="F94" s="50"/>
      <c r="G94" s="51"/>
      <c r="H94" s="45"/>
      <c r="I94" s="52"/>
      <c r="J94" s="45"/>
      <c r="K94" s="45"/>
      <c r="L94" s="45"/>
      <c r="M94" s="52"/>
      <c r="N94" s="45"/>
      <c r="O94" s="45"/>
      <c r="P94" s="45"/>
      <c r="Q94" s="45"/>
      <c r="R94" s="50"/>
      <c r="S94" s="45"/>
      <c r="T94" s="51"/>
      <c r="U94" s="53"/>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ht="12.75" customHeight="1">
      <c r="A95" s="50"/>
      <c r="B95" s="50"/>
      <c r="C95" s="51"/>
      <c r="D95" s="45"/>
      <c r="E95" s="50"/>
      <c r="F95" s="50"/>
      <c r="G95" s="51"/>
      <c r="H95" s="45"/>
      <c r="I95" s="52"/>
      <c r="J95" s="45"/>
      <c r="K95" s="45"/>
      <c r="L95" s="45"/>
      <c r="M95" s="52"/>
      <c r="N95" s="45"/>
      <c r="O95" s="45"/>
      <c r="P95" s="45"/>
      <c r="Q95" s="45"/>
      <c r="R95" s="50"/>
      <c r="S95" s="45"/>
      <c r="T95" s="51"/>
      <c r="U95" s="53"/>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ht="12.75" customHeight="1">
      <c r="A96" s="50"/>
      <c r="B96" s="50"/>
      <c r="C96" s="51"/>
      <c r="D96" s="45"/>
      <c r="E96" s="50"/>
      <c r="F96" s="50"/>
      <c r="G96" s="51"/>
      <c r="H96" s="45"/>
      <c r="I96" s="52"/>
      <c r="J96" s="45"/>
      <c r="K96" s="45"/>
      <c r="L96" s="45"/>
      <c r="M96" s="52"/>
      <c r="N96" s="45"/>
      <c r="O96" s="45"/>
      <c r="P96" s="45"/>
      <c r="Q96" s="45"/>
      <c r="R96" s="50"/>
      <c r="S96" s="45"/>
      <c r="T96" s="51"/>
      <c r="U96" s="53"/>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ht="12.75" customHeight="1">
      <c r="A97" s="50"/>
      <c r="B97" s="50"/>
      <c r="C97" s="51"/>
      <c r="D97" s="45"/>
      <c r="E97" s="50"/>
      <c r="F97" s="50"/>
      <c r="G97" s="51"/>
      <c r="H97" s="45"/>
      <c r="I97" s="52"/>
      <c r="J97" s="45"/>
      <c r="K97" s="45"/>
      <c r="L97" s="45"/>
      <c r="M97" s="52"/>
      <c r="N97" s="45"/>
      <c r="O97" s="45"/>
      <c r="P97" s="45"/>
      <c r="Q97" s="45"/>
      <c r="R97" s="50"/>
      <c r="S97" s="45"/>
      <c r="T97" s="51"/>
      <c r="U97" s="53"/>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ht="12.75" customHeight="1">
      <c r="A98" s="50"/>
      <c r="B98" s="50"/>
      <c r="C98" s="51"/>
      <c r="D98" s="45"/>
      <c r="E98" s="50"/>
      <c r="F98" s="50"/>
      <c r="G98" s="51"/>
      <c r="H98" s="45"/>
      <c r="I98" s="52"/>
      <c r="J98" s="45"/>
      <c r="K98" s="45"/>
      <c r="L98" s="45"/>
      <c r="M98" s="52"/>
      <c r="N98" s="45"/>
      <c r="O98" s="45"/>
      <c r="P98" s="45"/>
      <c r="Q98" s="45"/>
      <c r="R98" s="50"/>
      <c r="S98" s="45"/>
      <c r="T98" s="51"/>
      <c r="U98" s="53"/>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ht="12.75" customHeight="1">
      <c r="A99" s="50"/>
      <c r="B99" s="50"/>
      <c r="C99" s="51"/>
      <c r="D99" s="45"/>
      <c r="E99" s="50"/>
      <c r="F99" s="50"/>
      <c r="G99" s="51"/>
      <c r="H99" s="45"/>
      <c r="I99" s="52"/>
      <c r="J99" s="45"/>
      <c r="K99" s="45"/>
      <c r="L99" s="45"/>
      <c r="M99" s="52"/>
      <c r="N99" s="45"/>
      <c r="O99" s="45"/>
      <c r="P99" s="45"/>
      <c r="Q99" s="45"/>
      <c r="R99" s="50"/>
      <c r="S99" s="45"/>
      <c r="T99" s="51"/>
      <c r="U99" s="53"/>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ht="12.75" customHeight="1">
      <c r="A100" s="50"/>
      <c r="B100" s="50"/>
      <c r="C100" s="51"/>
      <c r="D100" s="45"/>
      <c r="E100" s="50"/>
      <c r="F100" s="50"/>
      <c r="G100" s="51"/>
      <c r="H100" s="45"/>
      <c r="I100" s="52"/>
      <c r="J100" s="45"/>
      <c r="K100" s="45"/>
      <c r="L100" s="45"/>
      <c r="M100" s="52"/>
      <c r="N100" s="45"/>
      <c r="O100" s="45"/>
      <c r="P100" s="45"/>
      <c r="Q100" s="45"/>
      <c r="R100" s="50"/>
      <c r="S100" s="45"/>
      <c r="T100" s="51"/>
      <c r="U100" s="53"/>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ht="12.75" customHeight="1">
      <c r="A101" s="50"/>
      <c r="B101" s="50"/>
      <c r="C101" s="51"/>
      <c r="D101" s="45"/>
      <c r="E101" s="50"/>
      <c r="F101" s="50"/>
      <c r="G101" s="51"/>
      <c r="H101" s="45"/>
      <c r="I101" s="52"/>
      <c r="J101" s="45"/>
      <c r="K101" s="45"/>
      <c r="L101" s="45"/>
      <c r="M101" s="52"/>
      <c r="N101" s="45"/>
      <c r="O101" s="45"/>
      <c r="P101" s="45"/>
      <c r="Q101" s="45"/>
      <c r="R101" s="50"/>
      <c r="S101" s="45"/>
      <c r="T101" s="51"/>
      <c r="U101" s="53"/>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ht="12.75" customHeight="1">
      <c r="A102" s="50"/>
      <c r="B102" s="50"/>
      <c r="C102" s="51"/>
      <c r="D102" s="45"/>
      <c r="E102" s="50"/>
      <c r="F102" s="50"/>
      <c r="G102" s="51"/>
      <c r="H102" s="45"/>
      <c r="I102" s="52"/>
      <c r="J102" s="45"/>
      <c r="K102" s="45"/>
      <c r="L102" s="45"/>
      <c r="M102" s="52"/>
      <c r="N102" s="45"/>
      <c r="O102" s="45"/>
      <c r="P102" s="45"/>
      <c r="Q102" s="45"/>
      <c r="R102" s="50"/>
      <c r="S102" s="45"/>
      <c r="T102" s="51"/>
      <c r="U102" s="53"/>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ht="12.75" customHeight="1">
      <c r="A103" s="50"/>
      <c r="B103" s="50"/>
      <c r="C103" s="51"/>
      <c r="D103" s="45"/>
      <c r="E103" s="50"/>
      <c r="F103" s="50"/>
      <c r="G103" s="51"/>
      <c r="H103" s="45"/>
      <c r="I103" s="52"/>
      <c r="J103" s="45"/>
      <c r="K103" s="45"/>
      <c r="L103" s="45"/>
      <c r="M103" s="52"/>
      <c r="N103" s="45"/>
      <c r="O103" s="45"/>
      <c r="P103" s="45"/>
      <c r="Q103" s="45"/>
      <c r="R103" s="50"/>
      <c r="S103" s="45"/>
      <c r="T103" s="51"/>
      <c r="U103" s="53"/>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ht="12.75" customHeight="1">
      <c r="A104" s="50"/>
      <c r="B104" s="50"/>
      <c r="C104" s="51"/>
      <c r="D104" s="45"/>
      <c r="E104" s="50"/>
      <c r="F104" s="50"/>
      <c r="G104" s="51"/>
      <c r="H104" s="45"/>
      <c r="I104" s="52"/>
      <c r="J104" s="45"/>
      <c r="K104" s="45"/>
      <c r="L104" s="45"/>
      <c r="M104" s="52"/>
      <c r="N104" s="45"/>
      <c r="O104" s="45"/>
      <c r="P104" s="45"/>
      <c r="Q104" s="45"/>
      <c r="R104" s="50"/>
      <c r="S104" s="45"/>
      <c r="T104" s="51"/>
      <c r="U104" s="53"/>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ht="12.75" customHeight="1">
      <c r="A105" s="50"/>
      <c r="B105" s="50"/>
      <c r="C105" s="51"/>
      <c r="D105" s="45"/>
      <c r="E105" s="50"/>
      <c r="F105" s="50"/>
      <c r="G105" s="51"/>
      <c r="H105" s="45"/>
      <c r="I105" s="52"/>
      <c r="J105" s="45"/>
      <c r="K105" s="45"/>
      <c r="L105" s="45"/>
      <c r="M105" s="52"/>
      <c r="N105" s="45"/>
      <c r="O105" s="45"/>
      <c r="P105" s="45"/>
      <c r="Q105" s="45"/>
      <c r="R105" s="50"/>
      <c r="S105" s="45"/>
      <c r="T105" s="51"/>
      <c r="U105" s="53"/>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ht="12.75" customHeight="1">
      <c r="A106" s="50"/>
      <c r="B106" s="50"/>
      <c r="C106" s="51"/>
      <c r="D106" s="45"/>
      <c r="E106" s="50"/>
      <c r="F106" s="50"/>
      <c r="G106" s="51"/>
      <c r="H106" s="45"/>
      <c r="I106" s="52"/>
      <c r="J106" s="45"/>
      <c r="K106" s="45"/>
      <c r="L106" s="45"/>
      <c r="M106" s="52"/>
      <c r="N106" s="45"/>
      <c r="O106" s="45"/>
      <c r="P106" s="45"/>
      <c r="Q106" s="45"/>
      <c r="R106" s="50"/>
      <c r="S106" s="45"/>
      <c r="T106" s="51"/>
      <c r="U106" s="53"/>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ht="12.75" customHeight="1">
      <c r="A107" s="50"/>
      <c r="B107" s="50"/>
      <c r="C107" s="51"/>
      <c r="D107" s="45"/>
      <c r="E107" s="50"/>
      <c r="F107" s="50"/>
      <c r="G107" s="51"/>
      <c r="H107" s="45"/>
      <c r="I107" s="52"/>
      <c r="J107" s="45"/>
      <c r="K107" s="45"/>
      <c r="L107" s="45"/>
      <c r="M107" s="52"/>
      <c r="N107" s="45"/>
      <c r="O107" s="45"/>
      <c r="P107" s="45"/>
      <c r="Q107" s="45"/>
      <c r="R107" s="50"/>
      <c r="S107" s="45"/>
      <c r="T107" s="51"/>
      <c r="U107" s="53"/>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ht="12.75" customHeight="1">
      <c r="A108" s="50"/>
      <c r="B108" s="50"/>
      <c r="C108" s="51"/>
      <c r="D108" s="45"/>
      <c r="E108" s="50"/>
      <c r="F108" s="50"/>
      <c r="G108" s="51"/>
      <c r="H108" s="45"/>
      <c r="I108" s="52"/>
      <c r="J108" s="45"/>
      <c r="K108" s="45"/>
      <c r="L108" s="45"/>
      <c r="M108" s="52"/>
      <c r="N108" s="45"/>
      <c r="O108" s="45"/>
      <c r="P108" s="45"/>
      <c r="Q108" s="45"/>
      <c r="R108" s="50"/>
      <c r="S108" s="45"/>
      <c r="T108" s="51"/>
      <c r="U108" s="53"/>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ht="12.75" customHeight="1">
      <c r="A109" s="50"/>
      <c r="B109" s="50"/>
      <c r="C109" s="51"/>
      <c r="D109" s="45"/>
      <c r="E109" s="50"/>
      <c r="F109" s="50"/>
      <c r="G109" s="51"/>
      <c r="H109" s="45"/>
      <c r="I109" s="52"/>
      <c r="J109" s="45"/>
      <c r="K109" s="45"/>
      <c r="L109" s="45"/>
      <c r="M109" s="52"/>
      <c r="N109" s="45"/>
      <c r="O109" s="45"/>
      <c r="P109" s="45"/>
      <c r="Q109" s="45"/>
      <c r="R109" s="50"/>
      <c r="S109" s="45"/>
      <c r="T109" s="51"/>
      <c r="U109" s="53"/>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ht="12.75" customHeight="1">
      <c r="A110" s="50"/>
      <c r="B110" s="50"/>
      <c r="C110" s="51"/>
      <c r="D110" s="45"/>
      <c r="E110" s="50"/>
      <c r="F110" s="50"/>
      <c r="G110" s="51"/>
      <c r="H110" s="45"/>
      <c r="I110" s="52"/>
      <c r="J110" s="45"/>
      <c r="K110" s="45"/>
      <c r="L110" s="45"/>
      <c r="M110" s="52"/>
      <c r="N110" s="45"/>
      <c r="O110" s="45"/>
      <c r="P110" s="45"/>
      <c r="Q110" s="45"/>
      <c r="R110" s="50"/>
      <c r="S110" s="45"/>
      <c r="T110" s="51"/>
      <c r="U110" s="53"/>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ht="12.75" customHeight="1">
      <c r="A111" s="50"/>
      <c r="B111" s="50"/>
      <c r="C111" s="51"/>
      <c r="D111" s="45"/>
      <c r="E111" s="50"/>
      <c r="F111" s="50"/>
      <c r="G111" s="51"/>
      <c r="H111" s="45"/>
      <c r="I111" s="52"/>
      <c r="J111" s="45"/>
      <c r="K111" s="45"/>
      <c r="L111" s="45"/>
      <c r="M111" s="52"/>
      <c r="N111" s="45"/>
      <c r="O111" s="45"/>
      <c r="P111" s="45"/>
      <c r="Q111" s="45"/>
      <c r="R111" s="50"/>
      <c r="S111" s="45"/>
      <c r="T111" s="51"/>
      <c r="U111" s="53"/>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ht="12.75" customHeight="1">
      <c r="A112" s="50"/>
      <c r="B112" s="50"/>
      <c r="C112" s="51"/>
      <c r="D112" s="45"/>
      <c r="E112" s="50"/>
      <c r="F112" s="50"/>
      <c r="G112" s="51"/>
      <c r="H112" s="45"/>
      <c r="I112" s="52"/>
      <c r="J112" s="45"/>
      <c r="K112" s="45"/>
      <c r="L112" s="45"/>
      <c r="M112" s="52"/>
      <c r="N112" s="45"/>
      <c r="O112" s="45"/>
      <c r="P112" s="45"/>
      <c r="Q112" s="45"/>
      <c r="R112" s="50"/>
      <c r="S112" s="45"/>
      <c r="T112" s="51"/>
      <c r="U112" s="53"/>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ht="12.75" customHeight="1">
      <c r="A113" s="50"/>
      <c r="B113" s="50"/>
      <c r="C113" s="51"/>
      <c r="D113" s="45"/>
      <c r="E113" s="50"/>
      <c r="F113" s="50"/>
      <c r="G113" s="51"/>
      <c r="H113" s="45"/>
      <c r="I113" s="52"/>
      <c r="J113" s="45"/>
      <c r="K113" s="45"/>
      <c r="L113" s="45"/>
      <c r="M113" s="52"/>
      <c r="N113" s="45"/>
      <c r="O113" s="45"/>
      <c r="P113" s="45"/>
      <c r="Q113" s="45"/>
      <c r="R113" s="50"/>
      <c r="S113" s="45"/>
      <c r="T113" s="51"/>
      <c r="U113" s="53"/>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ht="12.75" customHeight="1">
      <c r="A114" s="50"/>
      <c r="B114" s="50"/>
      <c r="C114" s="51"/>
      <c r="D114" s="45"/>
      <c r="E114" s="50"/>
      <c r="F114" s="50"/>
      <c r="G114" s="51"/>
      <c r="H114" s="45"/>
      <c r="I114" s="52"/>
      <c r="J114" s="45"/>
      <c r="K114" s="45"/>
      <c r="L114" s="45"/>
      <c r="M114" s="52"/>
      <c r="N114" s="45"/>
      <c r="O114" s="45"/>
      <c r="P114" s="45"/>
      <c r="Q114" s="45"/>
      <c r="R114" s="50"/>
      <c r="S114" s="45"/>
      <c r="T114" s="51"/>
      <c r="U114" s="53"/>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ht="12.75" customHeight="1">
      <c r="A115" s="50"/>
      <c r="B115" s="50"/>
      <c r="C115" s="51"/>
      <c r="D115" s="45"/>
      <c r="E115" s="50"/>
      <c r="F115" s="50"/>
      <c r="G115" s="51"/>
      <c r="H115" s="45"/>
      <c r="I115" s="52"/>
      <c r="J115" s="45"/>
      <c r="K115" s="45"/>
      <c r="L115" s="45"/>
      <c r="M115" s="52"/>
      <c r="N115" s="45"/>
      <c r="O115" s="45"/>
      <c r="P115" s="45"/>
      <c r="Q115" s="45"/>
      <c r="R115" s="50"/>
      <c r="S115" s="45"/>
      <c r="T115" s="51"/>
      <c r="U115" s="53"/>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ht="12.75" customHeight="1">
      <c r="A116" s="50"/>
      <c r="B116" s="50"/>
      <c r="C116" s="51"/>
      <c r="D116" s="45"/>
      <c r="E116" s="50"/>
      <c r="F116" s="50"/>
      <c r="G116" s="51"/>
      <c r="H116" s="45"/>
      <c r="I116" s="52"/>
      <c r="J116" s="45"/>
      <c r="K116" s="45"/>
      <c r="L116" s="45"/>
      <c r="M116" s="52"/>
      <c r="N116" s="45"/>
      <c r="O116" s="45"/>
      <c r="P116" s="45"/>
      <c r="Q116" s="45"/>
      <c r="R116" s="50"/>
      <c r="S116" s="45"/>
      <c r="T116" s="51"/>
      <c r="U116" s="53"/>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ht="12.75" customHeight="1">
      <c r="A117" s="50"/>
      <c r="B117" s="50"/>
      <c r="C117" s="51"/>
      <c r="D117" s="45"/>
      <c r="E117" s="50"/>
      <c r="F117" s="50"/>
      <c r="G117" s="51"/>
      <c r="H117" s="45"/>
      <c r="I117" s="52"/>
      <c r="J117" s="45"/>
      <c r="K117" s="45"/>
      <c r="L117" s="45"/>
      <c r="M117" s="52"/>
      <c r="N117" s="45"/>
      <c r="O117" s="45"/>
      <c r="P117" s="45"/>
      <c r="Q117" s="45"/>
      <c r="R117" s="50"/>
      <c r="S117" s="45"/>
      <c r="T117" s="51"/>
      <c r="U117" s="53"/>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ht="12.75" customHeight="1">
      <c r="A118" s="50"/>
      <c r="B118" s="50"/>
      <c r="C118" s="51"/>
      <c r="D118" s="45"/>
      <c r="E118" s="50"/>
      <c r="F118" s="50"/>
      <c r="G118" s="51"/>
      <c r="H118" s="45"/>
      <c r="I118" s="52"/>
      <c r="J118" s="45"/>
      <c r="K118" s="45"/>
      <c r="L118" s="45"/>
      <c r="M118" s="52"/>
      <c r="N118" s="45"/>
      <c r="O118" s="45"/>
      <c r="P118" s="45"/>
      <c r="Q118" s="45"/>
      <c r="R118" s="50"/>
      <c r="S118" s="45"/>
      <c r="T118" s="51"/>
      <c r="U118" s="53"/>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ht="12.75" customHeight="1">
      <c r="A119" s="50"/>
      <c r="B119" s="50"/>
      <c r="C119" s="51"/>
      <c r="D119" s="45"/>
      <c r="E119" s="50"/>
      <c r="F119" s="50"/>
      <c r="G119" s="51"/>
      <c r="H119" s="45"/>
      <c r="I119" s="52"/>
      <c r="J119" s="45"/>
      <c r="K119" s="45"/>
      <c r="L119" s="45"/>
      <c r="M119" s="52"/>
      <c r="N119" s="45"/>
      <c r="O119" s="45"/>
      <c r="P119" s="45"/>
      <c r="Q119" s="45"/>
      <c r="R119" s="50"/>
      <c r="S119" s="45"/>
      <c r="T119" s="51"/>
      <c r="U119" s="53"/>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ht="12.75" customHeight="1">
      <c r="A120" s="50"/>
      <c r="B120" s="50"/>
      <c r="C120" s="51"/>
      <c r="D120" s="45"/>
      <c r="E120" s="50"/>
      <c r="F120" s="50"/>
      <c r="G120" s="51"/>
      <c r="H120" s="45"/>
      <c r="I120" s="52"/>
      <c r="J120" s="45"/>
      <c r="K120" s="45"/>
      <c r="L120" s="45"/>
      <c r="M120" s="52"/>
      <c r="N120" s="45"/>
      <c r="O120" s="45"/>
      <c r="P120" s="45"/>
      <c r="Q120" s="45"/>
      <c r="R120" s="50"/>
      <c r="S120" s="45"/>
      <c r="T120" s="51"/>
      <c r="U120" s="53"/>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ht="12.75" customHeight="1">
      <c r="A121" s="50"/>
      <c r="B121" s="50"/>
      <c r="C121" s="51"/>
      <c r="D121" s="45"/>
      <c r="E121" s="50"/>
      <c r="F121" s="50"/>
      <c r="G121" s="51"/>
      <c r="H121" s="45"/>
      <c r="I121" s="52"/>
      <c r="J121" s="45"/>
      <c r="K121" s="45"/>
      <c r="L121" s="45"/>
      <c r="M121" s="52"/>
      <c r="N121" s="45"/>
      <c r="O121" s="45"/>
      <c r="P121" s="45"/>
      <c r="Q121" s="45"/>
      <c r="R121" s="50"/>
      <c r="S121" s="45"/>
      <c r="T121" s="51"/>
      <c r="U121" s="53"/>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ht="12.75" customHeight="1">
      <c r="A122" s="50"/>
      <c r="B122" s="50"/>
      <c r="C122" s="51"/>
      <c r="D122" s="45"/>
      <c r="E122" s="50"/>
      <c r="F122" s="50"/>
      <c r="G122" s="51"/>
      <c r="H122" s="45"/>
      <c r="I122" s="52"/>
      <c r="J122" s="45"/>
      <c r="K122" s="45"/>
      <c r="L122" s="45"/>
      <c r="M122" s="52"/>
      <c r="N122" s="45"/>
      <c r="O122" s="45"/>
      <c r="P122" s="45"/>
      <c r="Q122" s="45"/>
      <c r="R122" s="50"/>
      <c r="S122" s="45"/>
      <c r="T122" s="51"/>
      <c r="U122" s="53"/>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ht="12.75" customHeight="1">
      <c r="A123" s="50"/>
      <c r="B123" s="50"/>
      <c r="C123" s="51"/>
      <c r="D123" s="45"/>
      <c r="E123" s="50"/>
      <c r="F123" s="50"/>
      <c r="G123" s="51"/>
      <c r="H123" s="45"/>
      <c r="I123" s="52"/>
      <c r="J123" s="45"/>
      <c r="K123" s="45"/>
      <c r="L123" s="45"/>
      <c r="M123" s="52"/>
      <c r="N123" s="45"/>
      <c r="O123" s="45"/>
      <c r="P123" s="45"/>
      <c r="Q123" s="45"/>
      <c r="R123" s="50"/>
      <c r="S123" s="45"/>
      <c r="T123" s="51"/>
      <c r="U123" s="53"/>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ht="12.75" customHeight="1">
      <c r="A124" s="50"/>
      <c r="B124" s="50"/>
      <c r="C124" s="51"/>
      <c r="D124" s="45"/>
      <c r="E124" s="50"/>
      <c r="F124" s="50"/>
      <c r="G124" s="51"/>
      <c r="H124" s="45"/>
      <c r="I124" s="52"/>
      <c r="J124" s="45"/>
      <c r="K124" s="45"/>
      <c r="L124" s="45"/>
      <c r="M124" s="52"/>
      <c r="N124" s="45"/>
      <c r="O124" s="45"/>
      <c r="P124" s="45"/>
      <c r="Q124" s="45"/>
      <c r="R124" s="50"/>
      <c r="S124" s="45"/>
      <c r="T124" s="51"/>
      <c r="U124" s="53"/>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ht="12.75" customHeight="1">
      <c r="A125" s="50"/>
      <c r="B125" s="50"/>
      <c r="C125" s="51"/>
      <c r="D125" s="45"/>
      <c r="E125" s="50"/>
      <c r="F125" s="50"/>
      <c r="G125" s="51"/>
      <c r="H125" s="45"/>
      <c r="I125" s="52"/>
      <c r="J125" s="45"/>
      <c r="K125" s="45"/>
      <c r="L125" s="45"/>
      <c r="M125" s="52"/>
      <c r="N125" s="45"/>
      <c r="O125" s="45"/>
      <c r="P125" s="45"/>
      <c r="Q125" s="45"/>
      <c r="R125" s="50"/>
      <c r="S125" s="45"/>
      <c r="T125" s="51"/>
      <c r="U125" s="53"/>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ht="12.75" customHeight="1">
      <c r="A126" s="50"/>
      <c r="B126" s="50"/>
      <c r="C126" s="51"/>
      <c r="D126" s="45"/>
      <c r="E126" s="50"/>
      <c r="F126" s="50"/>
      <c r="G126" s="51"/>
      <c r="H126" s="45"/>
      <c r="I126" s="52"/>
      <c r="J126" s="45"/>
      <c r="K126" s="45"/>
      <c r="L126" s="45"/>
      <c r="M126" s="52"/>
      <c r="N126" s="45"/>
      <c r="O126" s="45"/>
      <c r="P126" s="45"/>
      <c r="Q126" s="45"/>
      <c r="R126" s="50"/>
      <c r="S126" s="45"/>
      <c r="T126" s="51"/>
      <c r="U126" s="53"/>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ht="12.75" customHeight="1">
      <c r="A127" s="50"/>
      <c r="B127" s="50"/>
      <c r="C127" s="51"/>
      <c r="D127" s="45"/>
      <c r="E127" s="50"/>
      <c r="F127" s="50"/>
      <c r="G127" s="51"/>
      <c r="H127" s="45"/>
      <c r="I127" s="52"/>
      <c r="J127" s="45"/>
      <c r="K127" s="45"/>
      <c r="L127" s="45"/>
      <c r="M127" s="52"/>
      <c r="N127" s="45"/>
      <c r="O127" s="45"/>
      <c r="P127" s="45"/>
      <c r="Q127" s="45"/>
      <c r="R127" s="50"/>
      <c r="S127" s="45"/>
      <c r="T127" s="51"/>
      <c r="U127" s="53"/>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ht="12.75" customHeight="1">
      <c r="A128" s="50"/>
      <c r="B128" s="50"/>
      <c r="C128" s="51"/>
      <c r="D128" s="45"/>
      <c r="E128" s="50"/>
      <c r="F128" s="50"/>
      <c r="G128" s="51"/>
      <c r="H128" s="45"/>
      <c r="I128" s="52"/>
      <c r="J128" s="45"/>
      <c r="K128" s="45"/>
      <c r="L128" s="45"/>
      <c r="M128" s="52"/>
      <c r="N128" s="45"/>
      <c r="O128" s="45"/>
      <c r="P128" s="45"/>
      <c r="Q128" s="45"/>
      <c r="R128" s="50"/>
      <c r="S128" s="45"/>
      <c r="T128" s="51"/>
      <c r="U128" s="53"/>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ht="12.75" customHeight="1">
      <c r="A129" s="50"/>
      <c r="B129" s="50"/>
      <c r="C129" s="51"/>
      <c r="D129" s="45"/>
      <c r="E129" s="50"/>
      <c r="F129" s="50"/>
      <c r="G129" s="51"/>
      <c r="H129" s="45"/>
      <c r="I129" s="52"/>
      <c r="J129" s="45"/>
      <c r="K129" s="45"/>
      <c r="L129" s="45"/>
      <c r="M129" s="52"/>
      <c r="N129" s="45"/>
      <c r="O129" s="45"/>
      <c r="P129" s="45"/>
      <c r="Q129" s="45"/>
      <c r="R129" s="50"/>
      <c r="S129" s="45"/>
      <c r="T129" s="51"/>
      <c r="U129" s="53"/>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ht="12.75" customHeight="1">
      <c r="A130" s="50"/>
      <c r="B130" s="50"/>
      <c r="C130" s="51"/>
      <c r="D130" s="45"/>
      <c r="E130" s="50"/>
      <c r="F130" s="50"/>
      <c r="G130" s="51"/>
      <c r="H130" s="45"/>
      <c r="I130" s="52"/>
      <c r="J130" s="45"/>
      <c r="K130" s="45"/>
      <c r="L130" s="45"/>
      <c r="M130" s="52"/>
      <c r="N130" s="45"/>
      <c r="O130" s="45"/>
      <c r="P130" s="45"/>
      <c r="Q130" s="45"/>
      <c r="R130" s="50"/>
      <c r="S130" s="45"/>
      <c r="T130" s="51"/>
      <c r="U130" s="53"/>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ht="12.75" customHeight="1">
      <c r="A131" s="50"/>
      <c r="B131" s="50"/>
      <c r="C131" s="51"/>
      <c r="D131" s="45"/>
      <c r="E131" s="50"/>
      <c r="F131" s="50"/>
      <c r="G131" s="51"/>
      <c r="H131" s="45"/>
      <c r="I131" s="52"/>
      <c r="J131" s="45"/>
      <c r="K131" s="45"/>
      <c r="L131" s="45"/>
      <c r="M131" s="52"/>
      <c r="N131" s="45"/>
      <c r="O131" s="45"/>
      <c r="P131" s="45"/>
      <c r="Q131" s="45"/>
      <c r="R131" s="50"/>
      <c r="S131" s="45"/>
      <c r="T131" s="51"/>
      <c r="U131" s="53"/>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ht="12.75" customHeight="1">
      <c r="A132" s="50"/>
      <c r="B132" s="50"/>
      <c r="C132" s="51"/>
      <c r="D132" s="45"/>
      <c r="E132" s="50"/>
      <c r="F132" s="50"/>
      <c r="G132" s="51"/>
      <c r="H132" s="45"/>
      <c r="I132" s="52"/>
      <c r="J132" s="45"/>
      <c r="K132" s="45"/>
      <c r="L132" s="45"/>
      <c r="M132" s="52"/>
      <c r="N132" s="45"/>
      <c r="O132" s="45"/>
      <c r="P132" s="45"/>
      <c r="Q132" s="45"/>
      <c r="R132" s="50"/>
      <c r="S132" s="45"/>
      <c r="T132" s="51"/>
      <c r="U132" s="53"/>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ht="12.75" customHeight="1">
      <c r="A133" s="50"/>
      <c r="B133" s="50"/>
      <c r="C133" s="51"/>
      <c r="D133" s="45"/>
      <c r="E133" s="50"/>
      <c r="F133" s="50"/>
      <c r="G133" s="51"/>
      <c r="H133" s="45"/>
      <c r="I133" s="52"/>
      <c r="J133" s="45"/>
      <c r="K133" s="45"/>
      <c r="L133" s="45"/>
      <c r="M133" s="52"/>
      <c r="N133" s="45"/>
      <c r="O133" s="45"/>
      <c r="P133" s="45"/>
      <c r="Q133" s="45"/>
      <c r="R133" s="50"/>
      <c r="S133" s="45"/>
      <c r="T133" s="51"/>
      <c r="U133" s="53"/>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ht="12.75" customHeight="1">
      <c r="A134" s="50"/>
      <c r="B134" s="50"/>
      <c r="C134" s="51"/>
      <c r="D134" s="45"/>
      <c r="E134" s="50"/>
      <c r="F134" s="50"/>
      <c r="G134" s="51"/>
      <c r="H134" s="45"/>
      <c r="I134" s="52"/>
      <c r="J134" s="45"/>
      <c r="K134" s="45"/>
      <c r="L134" s="45"/>
      <c r="M134" s="52"/>
      <c r="N134" s="45"/>
      <c r="O134" s="45"/>
      <c r="P134" s="45"/>
      <c r="Q134" s="45"/>
      <c r="R134" s="50"/>
      <c r="S134" s="45"/>
      <c r="T134" s="51"/>
      <c r="U134" s="53"/>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ht="12.75" customHeight="1">
      <c r="A135" s="50"/>
      <c r="B135" s="50"/>
      <c r="C135" s="51"/>
      <c r="D135" s="45"/>
      <c r="E135" s="50"/>
      <c r="F135" s="50"/>
      <c r="G135" s="51"/>
      <c r="H135" s="45"/>
      <c r="I135" s="52"/>
      <c r="J135" s="45"/>
      <c r="K135" s="45"/>
      <c r="L135" s="45"/>
      <c r="M135" s="52"/>
      <c r="N135" s="45"/>
      <c r="O135" s="45"/>
      <c r="P135" s="45"/>
      <c r="Q135" s="45"/>
      <c r="R135" s="50"/>
      <c r="S135" s="45"/>
      <c r="T135" s="51"/>
      <c r="U135" s="53"/>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ht="12.75" customHeight="1">
      <c r="A136" s="50"/>
      <c r="B136" s="50"/>
      <c r="C136" s="51"/>
      <c r="D136" s="45"/>
      <c r="E136" s="50"/>
      <c r="F136" s="50"/>
      <c r="G136" s="51"/>
      <c r="H136" s="45"/>
      <c r="I136" s="52"/>
      <c r="J136" s="45"/>
      <c r="K136" s="45"/>
      <c r="L136" s="45"/>
      <c r="M136" s="52"/>
      <c r="N136" s="45"/>
      <c r="O136" s="45"/>
      <c r="P136" s="45"/>
      <c r="Q136" s="45"/>
      <c r="R136" s="50"/>
      <c r="S136" s="45"/>
      <c r="T136" s="51"/>
      <c r="U136" s="53"/>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ht="12.75" customHeight="1">
      <c r="A137" s="50"/>
      <c r="B137" s="50"/>
      <c r="C137" s="51"/>
      <c r="D137" s="45"/>
      <c r="E137" s="50"/>
      <c r="F137" s="50"/>
      <c r="G137" s="51"/>
      <c r="H137" s="45"/>
      <c r="I137" s="52"/>
      <c r="J137" s="45"/>
      <c r="K137" s="45"/>
      <c r="L137" s="45"/>
      <c r="M137" s="52"/>
      <c r="N137" s="45"/>
      <c r="O137" s="45"/>
      <c r="P137" s="45"/>
      <c r="Q137" s="45"/>
      <c r="R137" s="50"/>
      <c r="S137" s="45"/>
      <c r="T137" s="51"/>
      <c r="U137" s="53"/>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ht="12.75" customHeight="1">
      <c r="A138" s="50"/>
      <c r="B138" s="50"/>
      <c r="C138" s="51"/>
      <c r="D138" s="45"/>
      <c r="E138" s="50"/>
      <c r="F138" s="50"/>
      <c r="G138" s="51"/>
      <c r="H138" s="45"/>
      <c r="I138" s="52"/>
      <c r="J138" s="45"/>
      <c r="K138" s="45"/>
      <c r="L138" s="45"/>
      <c r="M138" s="52"/>
      <c r="N138" s="45"/>
      <c r="O138" s="45"/>
      <c r="P138" s="45"/>
      <c r="Q138" s="45"/>
      <c r="R138" s="50"/>
      <c r="S138" s="45"/>
      <c r="T138" s="51"/>
      <c r="U138" s="53"/>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ht="12.75" customHeight="1">
      <c r="A139" s="50"/>
      <c r="B139" s="50"/>
      <c r="C139" s="51"/>
      <c r="D139" s="45"/>
      <c r="E139" s="50"/>
      <c r="F139" s="50"/>
      <c r="G139" s="51"/>
      <c r="H139" s="45"/>
      <c r="I139" s="52"/>
      <c r="J139" s="45"/>
      <c r="K139" s="45"/>
      <c r="L139" s="45"/>
      <c r="M139" s="52"/>
      <c r="N139" s="45"/>
      <c r="O139" s="45"/>
      <c r="P139" s="45"/>
      <c r="Q139" s="45"/>
      <c r="R139" s="50"/>
      <c r="S139" s="45"/>
      <c r="T139" s="51"/>
      <c r="U139" s="53"/>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ht="12.75" customHeight="1">
      <c r="A140" s="50"/>
      <c r="B140" s="50"/>
      <c r="C140" s="51"/>
      <c r="D140" s="45"/>
      <c r="E140" s="50"/>
      <c r="F140" s="50"/>
      <c r="G140" s="51"/>
      <c r="H140" s="45"/>
      <c r="I140" s="52"/>
      <c r="J140" s="45"/>
      <c r="K140" s="45"/>
      <c r="L140" s="45"/>
      <c r="M140" s="52"/>
      <c r="N140" s="45"/>
      <c r="O140" s="45"/>
      <c r="P140" s="45"/>
      <c r="Q140" s="45"/>
      <c r="R140" s="50"/>
      <c r="S140" s="45"/>
      <c r="T140" s="51"/>
      <c r="U140" s="53"/>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ht="12.75" customHeight="1">
      <c r="A141" s="50"/>
      <c r="B141" s="50"/>
      <c r="C141" s="51"/>
      <c r="D141" s="45"/>
      <c r="E141" s="50"/>
      <c r="F141" s="50"/>
      <c r="G141" s="51"/>
      <c r="H141" s="45"/>
      <c r="I141" s="52"/>
      <c r="J141" s="45"/>
      <c r="K141" s="45"/>
      <c r="L141" s="45"/>
      <c r="M141" s="52"/>
      <c r="N141" s="45"/>
      <c r="O141" s="45"/>
      <c r="P141" s="45"/>
      <c r="Q141" s="45"/>
      <c r="R141" s="50"/>
      <c r="S141" s="45"/>
      <c r="T141" s="51"/>
      <c r="U141" s="53"/>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ht="12.75" customHeight="1">
      <c r="A142" s="50"/>
      <c r="B142" s="50"/>
      <c r="C142" s="51"/>
      <c r="D142" s="45"/>
      <c r="E142" s="50"/>
      <c r="F142" s="50"/>
      <c r="G142" s="51"/>
      <c r="H142" s="45"/>
      <c r="I142" s="52"/>
      <c r="J142" s="45"/>
      <c r="K142" s="45"/>
      <c r="L142" s="45"/>
      <c r="M142" s="52"/>
      <c r="N142" s="45"/>
      <c r="O142" s="45"/>
      <c r="P142" s="45"/>
      <c r="Q142" s="45"/>
      <c r="R142" s="50"/>
      <c r="S142" s="45"/>
      <c r="T142" s="51"/>
      <c r="U142" s="53"/>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ht="12.75" customHeight="1">
      <c r="A143" s="50"/>
      <c r="B143" s="50"/>
      <c r="C143" s="51"/>
      <c r="D143" s="45"/>
      <c r="E143" s="50"/>
      <c r="F143" s="50"/>
      <c r="G143" s="51"/>
      <c r="H143" s="45"/>
      <c r="I143" s="52"/>
      <c r="J143" s="45"/>
      <c r="K143" s="45"/>
      <c r="L143" s="45"/>
      <c r="M143" s="52"/>
      <c r="N143" s="45"/>
      <c r="O143" s="45"/>
      <c r="P143" s="45"/>
      <c r="Q143" s="45"/>
      <c r="R143" s="50"/>
      <c r="S143" s="45"/>
      <c r="T143" s="51"/>
      <c r="U143" s="53"/>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ht="12.75" customHeight="1">
      <c r="A144" s="50"/>
      <c r="B144" s="50"/>
      <c r="C144" s="51"/>
      <c r="D144" s="45"/>
      <c r="E144" s="50"/>
      <c r="F144" s="50"/>
      <c r="G144" s="51"/>
      <c r="H144" s="45"/>
      <c r="I144" s="52"/>
      <c r="J144" s="45"/>
      <c r="K144" s="45"/>
      <c r="L144" s="45"/>
      <c r="M144" s="52"/>
      <c r="N144" s="45"/>
      <c r="O144" s="45"/>
      <c r="P144" s="45"/>
      <c r="Q144" s="45"/>
      <c r="R144" s="50"/>
      <c r="S144" s="45"/>
      <c r="T144" s="51"/>
      <c r="U144" s="53"/>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ht="12.75" customHeight="1">
      <c r="A145" s="50"/>
      <c r="B145" s="50"/>
      <c r="C145" s="51"/>
      <c r="D145" s="45"/>
      <c r="E145" s="50"/>
      <c r="F145" s="50"/>
      <c r="G145" s="51"/>
      <c r="H145" s="45"/>
      <c r="I145" s="52"/>
      <c r="J145" s="45"/>
      <c r="K145" s="45"/>
      <c r="L145" s="45"/>
      <c r="M145" s="52"/>
      <c r="N145" s="45"/>
      <c r="O145" s="45"/>
      <c r="P145" s="45"/>
      <c r="Q145" s="45"/>
      <c r="R145" s="50"/>
      <c r="S145" s="45"/>
      <c r="T145" s="51"/>
      <c r="U145" s="53"/>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ht="12.75" customHeight="1">
      <c r="A146" s="50"/>
      <c r="B146" s="50"/>
      <c r="C146" s="51"/>
      <c r="D146" s="45"/>
      <c r="E146" s="50"/>
      <c r="F146" s="50"/>
      <c r="G146" s="51"/>
      <c r="H146" s="45"/>
      <c r="I146" s="52"/>
      <c r="J146" s="45"/>
      <c r="K146" s="45"/>
      <c r="L146" s="45"/>
      <c r="M146" s="52"/>
      <c r="N146" s="45"/>
      <c r="O146" s="45"/>
      <c r="P146" s="45"/>
      <c r="Q146" s="45"/>
      <c r="R146" s="50"/>
      <c r="S146" s="45"/>
      <c r="T146" s="51"/>
      <c r="U146" s="53"/>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ht="12.75" customHeight="1">
      <c r="A147" s="50"/>
      <c r="B147" s="50"/>
      <c r="C147" s="51"/>
      <c r="D147" s="45"/>
      <c r="E147" s="50"/>
      <c r="F147" s="50"/>
      <c r="G147" s="51"/>
      <c r="H147" s="45"/>
      <c r="I147" s="52"/>
      <c r="J147" s="45"/>
      <c r="K147" s="45"/>
      <c r="L147" s="45"/>
      <c r="M147" s="52"/>
      <c r="N147" s="45"/>
      <c r="O147" s="45"/>
      <c r="P147" s="45"/>
      <c r="Q147" s="45"/>
      <c r="R147" s="50"/>
      <c r="S147" s="45"/>
      <c r="T147" s="51"/>
      <c r="U147" s="53"/>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ht="12.75" customHeight="1">
      <c r="A148" s="50"/>
      <c r="B148" s="50"/>
      <c r="C148" s="51"/>
      <c r="D148" s="45"/>
      <c r="E148" s="50"/>
      <c r="F148" s="50"/>
      <c r="G148" s="51"/>
      <c r="H148" s="45"/>
      <c r="I148" s="52"/>
      <c r="J148" s="45"/>
      <c r="K148" s="45"/>
      <c r="L148" s="45"/>
      <c r="M148" s="52"/>
      <c r="N148" s="45"/>
      <c r="O148" s="45"/>
      <c r="P148" s="45"/>
      <c r="Q148" s="45"/>
      <c r="R148" s="50"/>
      <c r="S148" s="45"/>
      <c r="T148" s="51"/>
      <c r="U148" s="53"/>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ht="12.75" customHeight="1">
      <c r="A149" s="50"/>
      <c r="B149" s="50"/>
      <c r="C149" s="51"/>
      <c r="D149" s="45"/>
      <c r="E149" s="50"/>
      <c r="F149" s="50"/>
      <c r="G149" s="51"/>
      <c r="H149" s="45"/>
      <c r="I149" s="52"/>
      <c r="J149" s="45"/>
      <c r="K149" s="45"/>
      <c r="L149" s="45"/>
      <c r="M149" s="52"/>
      <c r="N149" s="45"/>
      <c r="O149" s="45"/>
      <c r="P149" s="45"/>
      <c r="Q149" s="45"/>
      <c r="R149" s="50"/>
      <c r="S149" s="45"/>
      <c r="T149" s="51"/>
      <c r="U149" s="53"/>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ht="12.75" customHeight="1">
      <c r="A150" s="50"/>
      <c r="B150" s="50"/>
      <c r="C150" s="51"/>
      <c r="D150" s="45"/>
      <c r="E150" s="50"/>
      <c r="F150" s="50"/>
      <c r="G150" s="51"/>
      <c r="H150" s="45"/>
      <c r="I150" s="52"/>
      <c r="J150" s="45"/>
      <c r="K150" s="45"/>
      <c r="L150" s="45"/>
      <c r="M150" s="52"/>
      <c r="N150" s="45"/>
      <c r="O150" s="45"/>
      <c r="P150" s="45"/>
      <c r="Q150" s="45"/>
      <c r="R150" s="50"/>
      <c r="S150" s="45"/>
      <c r="T150" s="51"/>
      <c r="U150" s="53"/>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ht="12.75" customHeight="1">
      <c r="A151" s="50"/>
      <c r="B151" s="50"/>
      <c r="C151" s="51"/>
      <c r="D151" s="45"/>
      <c r="E151" s="50"/>
      <c r="F151" s="50"/>
      <c r="G151" s="51"/>
      <c r="H151" s="45"/>
      <c r="I151" s="52"/>
      <c r="J151" s="45"/>
      <c r="K151" s="45"/>
      <c r="L151" s="45"/>
      <c r="M151" s="52"/>
      <c r="N151" s="45"/>
      <c r="O151" s="45"/>
      <c r="P151" s="45"/>
      <c r="Q151" s="45"/>
      <c r="R151" s="50"/>
      <c r="S151" s="45"/>
      <c r="T151" s="51"/>
      <c r="U151" s="53"/>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ht="12.75" customHeight="1">
      <c r="A152" s="50"/>
      <c r="B152" s="50"/>
      <c r="C152" s="51"/>
      <c r="D152" s="45"/>
      <c r="E152" s="50"/>
      <c r="F152" s="50"/>
      <c r="G152" s="51"/>
      <c r="H152" s="45"/>
      <c r="I152" s="52"/>
      <c r="J152" s="45"/>
      <c r="K152" s="45"/>
      <c r="L152" s="45"/>
      <c r="M152" s="52"/>
      <c r="N152" s="45"/>
      <c r="O152" s="45"/>
      <c r="P152" s="45"/>
      <c r="Q152" s="45"/>
      <c r="R152" s="50"/>
      <c r="S152" s="45"/>
      <c r="T152" s="51"/>
      <c r="U152" s="53"/>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ht="12.75" customHeight="1">
      <c r="A153" s="50"/>
      <c r="B153" s="50"/>
      <c r="C153" s="51"/>
      <c r="D153" s="45"/>
      <c r="E153" s="50"/>
      <c r="F153" s="50"/>
      <c r="G153" s="51"/>
      <c r="H153" s="45"/>
      <c r="I153" s="52"/>
      <c r="J153" s="45"/>
      <c r="K153" s="45"/>
      <c r="L153" s="45"/>
      <c r="M153" s="52"/>
      <c r="N153" s="45"/>
      <c r="O153" s="45"/>
      <c r="P153" s="45"/>
      <c r="Q153" s="45"/>
      <c r="R153" s="50"/>
      <c r="S153" s="45"/>
      <c r="T153" s="51"/>
      <c r="U153" s="53"/>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ht="12.75" customHeight="1">
      <c r="A154" s="50"/>
      <c r="B154" s="50"/>
      <c r="C154" s="51"/>
      <c r="D154" s="45"/>
      <c r="E154" s="50"/>
      <c r="F154" s="50"/>
      <c r="G154" s="51"/>
      <c r="H154" s="45"/>
      <c r="I154" s="52"/>
      <c r="J154" s="45"/>
      <c r="K154" s="45"/>
      <c r="L154" s="45"/>
      <c r="M154" s="52"/>
      <c r="N154" s="45"/>
      <c r="O154" s="45"/>
      <c r="P154" s="45"/>
      <c r="Q154" s="45"/>
      <c r="R154" s="50"/>
      <c r="S154" s="45"/>
      <c r="T154" s="51"/>
      <c r="U154" s="53"/>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ht="12.75" customHeight="1">
      <c r="A155" s="50"/>
      <c r="B155" s="50"/>
      <c r="C155" s="51"/>
      <c r="D155" s="45"/>
      <c r="E155" s="50"/>
      <c r="F155" s="50"/>
      <c r="G155" s="51"/>
      <c r="H155" s="45"/>
      <c r="I155" s="52"/>
      <c r="J155" s="45"/>
      <c r="K155" s="45"/>
      <c r="L155" s="45"/>
      <c r="M155" s="52"/>
      <c r="N155" s="45"/>
      <c r="O155" s="45"/>
      <c r="P155" s="45"/>
      <c r="Q155" s="45"/>
      <c r="R155" s="50"/>
      <c r="S155" s="45"/>
      <c r="T155" s="51"/>
      <c r="U155" s="53"/>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ht="12.75" customHeight="1">
      <c r="A156" s="50"/>
      <c r="B156" s="50"/>
      <c r="C156" s="51"/>
      <c r="D156" s="45"/>
      <c r="E156" s="50"/>
      <c r="F156" s="50"/>
      <c r="G156" s="51"/>
      <c r="H156" s="45"/>
      <c r="I156" s="52"/>
      <c r="J156" s="45"/>
      <c r="K156" s="45"/>
      <c r="L156" s="45"/>
      <c r="M156" s="52"/>
      <c r="N156" s="45"/>
      <c r="O156" s="45"/>
      <c r="P156" s="45"/>
      <c r="Q156" s="45"/>
      <c r="R156" s="50"/>
      <c r="S156" s="45"/>
      <c r="T156" s="51"/>
      <c r="U156" s="53"/>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ht="12.75" customHeight="1">
      <c r="A157" s="50"/>
      <c r="B157" s="50"/>
      <c r="C157" s="51"/>
      <c r="D157" s="45"/>
      <c r="E157" s="50"/>
      <c r="F157" s="50"/>
      <c r="G157" s="51"/>
      <c r="H157" s="45"/>
      <c r="I157" s="52"/>
      <c r="J157" s="45"/>
      <c r="K157" s="45"/>
      <c r="L157" s="45"/>
      <c r="M157" s="52"/>
      <c r="N157" s="45"/>
      <c r="O157" s="45"/>
      <c r="P157" s="45"/>
      <c r="Q157" s="45"/>
      <c r="R157" s="50"/>
      <c r="S157" s="45"/>
      <c r="T157" s="51"/>
      <c r="U157" s="53"/>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ht="12.75" customHeight="1">
      <c r="A158" s="50"/>
      <c r="B158" s="50"/>
      <c r="C158" s="51"/>
      <c r="D158" s="45"/>
      <c r="E158" s="50"/>
      <c r="F158" s="50"/>
      <c r="G158" s="51"/>
      <c r="H158" s="45"/>
      <c r="I158" s="52"/>
      <c r="J158" s="45"/>
      <c r="K158" s="45"/>
      <c r="L158" s="45"/>
      <c r="M158" s="52"/>
      <c r="N158" s="45"/>
      <c r="O158" s="45"/>
      <c r="P158" s="45"/>
      <c r="Q158" s="45"/>
      <c r="R158" s="50"/>
      <c r="S158" s="45"/>
      <c r="T158" s="51"/>
      <c r="U158" s="53"/>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ht="12.75" customHeight="1">
      <c r="A159" s="50"/>
      <c r="B159" s="50"/>
      <c r="C159" s="51"/>
      <c r="D159" s="45"/>
      <c r="E159" s="50"/>
      <c r="F159" s="50"/>
      <c r="G159" s="51"/>
      <c r="H159" s="45"/>
      <c r="I159" s="52"/>
      <c r="J159" s="45"/>
      <c r="K159" s="45"/>
      <c r="L159" s="45"/>
      <c r="M159" s="52"/>
      <c r="N159" s="45"/>
      <c r="O159" s="45"/>
      <c r="P159" s="45"/>
      <c r="Q159" s="45"/>
      <c r="R159" s="50"/>
      <c r="S159" s="45"/>
      <c r="T159" s="51"/>
      <c r="U159" s="53"/>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ht="12.75" customHeight="1">
      <c r="A160" s="50"/>
      <c r="B160" s="50"/>
      <c r="C160" s="51"/>
      <c r="D160" s="45"/>
      <c r="E160" s="50"/>
      <c r="F160" s="50"/>
      <c r="G160" s="51"/>
      <c r="H160" s="45"/>
      <c r="I160" s="52"/>
      <c r="J160" s="45"/>
      <c r="K160" s="45"/>
      <c r="L160" s="45"/>
      <c r="M160" s="52"/>
      <c r="N160" s="45"/>
      <c r="O160" s="45"/>
      <c r="P160" s="45"/>
      <c r="Q160" s="45"/>
      <c r="R160" s="50"/>
      <c r="S160" s="45"/>
      <c r="T160" s="51"/>
      <c r="U160" s="53"/>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ht="12.75" customHeight="1">
      <c r="A161" s="50"/>
      <c r="B161" s="50"/>
      <c r="C161" s="51"/>
      <c r="D161" s="45"/>
      <c r="E161" s="50"/>
      <c r="F161" s="50"/>
      <c r="G161" s="51"/>
      <c r="H161" s="45"/>
      <c r="I161" s="52"/>
      <c r="J161" s="45"/>
      <c r="K161" s="45"/>
      <c r="L161" s="45"/>
      <c r="M161" s="52"/>
      <c r="N161" s="45"/>
      <c r="O161" s="45"/>
      <c r="P161" s="45"/>
      <c r="Q161" s="45"/>
      <c r="R161" s="50"/>
      <c r="S161" s="45"/>
      <c r="T161" s="51"/>
      <c r="U161" s="53"/>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ht="12.75" customHeight="1">
      <c r="A162" s="50"/>
      <c r="B162" s="50"/>
      <c r="C162" s="51"/>
      <c r="D162" s="45"/>
      <c r="E162" s="50"/>
      <c r="F162" s="50"/>
      <c r="G162" s="51"/>
      <c r="H162" s="45"/>
      <c r="I162" s="52"/>
      <c r="J162" s="45"/>
      <c r="K162" s="45"/>
      <c r="L162" s="45"/>
      <c r="M162" s="52"/>
      <c r="N162" s="45"/>
      <c r="O162" s="45"/>
      <c r="P162" s="45"/>
      <c r="Q162" s="45"/>
      <c r="R162" s="50"/>
      <c r="S162" s="45"/>
      <c r="T162" s="51"/>
      <c r="U162" s="53"/>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ht="12.75" customHeight="1">
      <c r="A163" s="50"/>
      <c r="B163" s="50"/>
      <c r="C163" s="51"/>
      <c r="D163" s="45"/>
      <c r="E163" s="50"/>
      <c r="F163" s="50"/>
      <c r="G163" s="51"/>
      <c r="H163" s="45"/>
      <c r="I163" s="52"/>
      <c r="J163" s="45"/>
      <c r="K163" s="45"/>
      <c r="L163" s="45"/>
      <c r="M163" s="52"/>
      <c r="N163" s="45"/>
      <c r="O163" s="45"/>
      <c r="P163" s="45"/>
      <c r="Q163" s="45"/>
      <c r="R163" s="50"/>
      <c r="S163" s="45"/>
      <c r="T163" s="51"/>
      <c r="U163" s="53"/>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ht="12.75" customHeight="1">
      <c r="A164" s="50"/>
      <c r="B164" s="50"/>
      <c r="C164" s="51"/>
      <c r="D164" s="45"/>
      <c r="E164" s="50"/>
      <c r="F164" s="50"/>
      <c r="G164" s="51"/>
      <c r="H164" s="45"/>
      <c r="I164" s="52"/>
      <c r="J164" s="45"/>
      <c r="K164" s="45"/>
      <c r="L164" s="45"/>
      <c r="M164" s="52"/>
      <c r="N164" s="45"/>
      <c r="O164" s="45"/>
      <c r="P164" s="45"/>
      <c r="Q164" s="45"/>
      <c r="R164" s="50"/>
      <c r="S164" s="45"/>
      <c r="T164" s="51"/>
      <c r="U164" s="53"/>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ht="12.75" customHeight="1">
      <c r="A165" s="50"/>
      <c r="B165" s="50"/>
      <c r="C165" s="51"/>
      <c r="D165" s="45"/>
      <c r="E165" s="50"/>
      <c r="F165" s="50"/>
      <c r="G165" s="51"/>
      <c r="H165" s="45"/>
      <c r="I165" s="52"/>
      <c r="J165" s="45"/>
      <c r="K165" s="45"/>
      <c r="L165" s="45"/>
      <c r="M165" s="52"/>
      <c r="N165" s="45"/>
      <c r="O165" s="45"/>
      <c r="P165" s="45"/>
      <c r="Q165" s="45"/>
      <c r="R165" s="50"/>
      <c r="S165" s="45"/>
      <c r="T165" s="51"/>
      <c r="U165" s="53"/>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ht="12.75" customHeight="1">
      <c r="A166" s="50"/>
      <c r="B166" s="50"/>
      <c r="C166" s="51"/>
      <c r="D166" s="45"/>
      <c r="E166" s="50"/>
      <c r="F166" s="50"/>
      <c r="G166" s="51"/>
      <c r="H166" s="45"/>
      <c r="I166" s="52"/>
      <c r="J166" s="45"/>
      <c r="K166" s="45"/>
      <c r="L166" s="45"/>
      <c r="M166" s="52"/>
      <c r="N166" s="45"/>
      <c r="O166" s="45"/>
      <c r="P166" s="45"/>
      <c r="Q166" s="45"/>
      <c r="R166" s="50"/>
      <c r="S166" s="45"/>
      <c r="T166" s="51"/>
      <c r="U166" s="53"/>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ht="12.75" customHeight="1">
      <c r="A167" s="50"/>
      <c r="B167" s="50"/>
      <c r="C167" s="51"/>
      <c r="D167" s="45"/>
      <c r="E167" s="50"/>
      <c r="F167" s="50"/>
      <c r="G167" s="51"/>
      <c r="H167" s="45"/>
      <c r="I167" s="52"/>
      <c r="J167" s="45"/>
      <c r="K167" s="45"/>
      <c r="L167" s="45"/>
      <c r="M167" s="52"/>
      <c r="N167" s="45"/>
      <c r="O167" s="45"/>
      <c r="P167" s="45"/>
      <c r="Q167" s="45"/>
      <c r="R167" s="50"/>
      <c r="S167" s="45"/>
      <c r="T167" s="51"/>
      <c r="U167" s="53"/>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ht="12.75" customHeight="1">
      <c r="A168" s="50"/>
      <c r="B168" s="50"/>
      <c r="C168" s="51"/>
      <c r="D168" s="45"/>
      <c r="E168" s="50"/>
      <c r="F168" s="50"/>
      <c r="G168" s="51"/>
      <c r="H168" s="45"/>
      <c r="I168" s="52"/>
      <c r="J168" s="45"/>
      <c r="K168" s="45"/>
      <c r="L168" s="45"/>
      <c r="M168" s="52"/>
      <c r="N168" s="45"/>
      <c r="O168" s="45"/>
      <c r="P168" s="45"/>
      <c r="Q168" s="45"/>
      <c r="R168" s="50"/>
      <c r="S168" s="45"/>
      <c r="T168" s="51"/>
      <c r="U168" s="53"/>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ht="12.75" customHeight="1">
      <c r="A169" s="50"/>
      <c r="B169" s="50"/>
      <c r="C169" s="51"/>
      <c r="D169" s="45"/>
      <c r="E169" s="50"/>
      <c r="F169" s="50"/>
      <c r="G169" s="51"/>
      <c r="H169" s="45"/>
      <c r="I169" s="52"/>
      <c r="J169" s="45"/>
      <c r="K169" s="45"/>
      <c r="L169" s="45"/>
      <c r="M169" s="52"/>
      <c r="N169" s="45"/>
      <c r="O169" s="45"/>
      <c r="P169" s="45"/>
      <c r="Q169" s="45"/>
      <c r="R169" s="50"/>
      <c r="S169" s="45"/>
      <c r="T169" s="51"/>
      <c r="U169" s="53"/>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ht="12.75" customHeight="1">
      <c r="A170" s="50"/>
      <c r="B170" s="50"/>
      <c r="C170" s="51"/>
      <c r="D170" s="45"/>
      <c r="E170" s="50"/>
      <c r="F170" s="50"/>
      <c r="G170" s="51"/>
      <c r="H170" s="45"/>
      <c r="I170" s="52"/>
      <c r="J170" s="45"/>
      <c r="K170" s="45"/>
      <c r="L170" s="45"/>
      <c r="M170" s="52"/>
      <c r="N170" s="45"/>
      <c r="O170" s="45"/>
      <c r="P170" s="45"/>
      <c r="Q170" s="45"/>
      <c r="R170" s="50"/>
      <c r="S170" s="45"/>
      <c r="T170" s="51"/>
      <c r="U170" s="53"/>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ht="12.75" customHeight="1">
      <c r="A171" s="50"/>
      <c r="B171" s="50"/>
      <c r="C171" s="51"/>
      <c r="D171" s="45"/>
      <c r="E171" s="50"/>
      <c r="F171" s="50"/>
      <c r="G171" s="51"/>
      <c r="H171" s="45"/>
      <c r="I171" s="52"/>
      <c r="J171" s="45"/>
      <c r="K171" s="45"/>
      <c r="L171" s="45"/>
      <c r="M171" s="52"/>
      <c r="N171" s="45"/>
      <c r="O171" s="45"/>
      <c r="P171" s="45"/>
      <c r="Q171" s="45"/>
      <c r="R171" s="50"/>
      <c r="S171" s="45"/>
      <c r="T171" s="51"/>
      <c r="U171" s="53"/>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ht="12.75" customHeight="1">
      <c r="A172" s="50"/>
      <c r="B172" s="50"/>
      <c r="C172" s="51"/>
      <c r="D172" s="45"/>
      <c r="E172" s="50"/>
      <c r="F172" s="50"/>
      <c r="G172" s="51"/>
      <c r="H172" s="45"/>
      <c r="I172" s="52"/>
      <c r="J172" s="45"/>
      <c r="K172" s="45"/>
      <c r="L172" s="45"/>
      <c r="M172" s="52"/>
      <c r="N172" s="45"/>
      <c r="O172" s="45"/>
      <c r="P172" s="45"/>
      <c r="Q172" s="45"/>
      <c r="R172" s="50"/>
      <c r="S172" s="45"/>
      <c r="T172" s="51"/>
      <c r="U172" s="53"/>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ht="12.75" customHeight="1">
      <c r="A173" s="50"/>
      <c r="B173" s="50"/>
      <c r="C173" s="51"/>
      <c r="D173" s="45"/>
      <c r="E173" s="50"/>
      <c r="F173" s="50"/>
      <c r="G173" s="51"/>
      <c r="H173" s="45"/>
      <c r="I173" s="52"/>
      <c r="J173" s="45"/>
      <c r="K173" s="45"/>
      <c r="L173" s="45"/>
      <c r="M173" s="52"/>
      <c r="N173" s="45"/>
      <c r="O173" s="45"/>
      <c r="P173" s="45"/>
      <c r="Q173" s="45"/>
      <c r="R173" s="50"/>
      <c r="S173" s="45"/>
      <c r="T173" s="51"/>
      <c r="U173" s="53"/>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ht="12.75" customHeight="1">
      <c r="A174" s="50"/>
      <c r="B174" s="50"/>
      <c r="C174" s="51"/>
      <c r="D174" s="45"/>
      <c r="E174" s="50"/>
      <c r="F174" s="50"/>
      <c r="G174" s="51"/>
      <c r="H174" s="45"/>
      <c r="I174" s="52"/>
      <c r="J174" s="45"/>
      <c r="K174" s="45"/>
      <c r="L174" s="45"/>
      <c r="M174" s="52"/>
      <c r="N174" s="45"/>
      <c r="O174" s="45"/>
      <c r="P174" s="45"/>
      <c r="Q174" s="45"/>
      <c r="R174" s="50"/>
      <c r="S174" s="45"/>
      <c r="T174" s="51"/>
      <c r="U174" s="53"/>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ht="12.75" customHeight="1">
      <c r="A175" s="50"/>
      <c r="B175" s="50"/>
      <c r="C175" s="51"/>
      <c r="D175" s="45"/>
      <c r="E175" s="50"/>
      <c r="F175" s="50"/>
      <c r="G175" s="51"/>
      <c r="H175" s="45"/>
      <c r="I175" s="52"/>
      <c r="J175" s="45"/>
      <c r="K175" s="45"/>
      <c r="L175" s="45"/>
      <c r="M175" s="52"/>
      <c r="N175" s="45"/>
      <c r="O175" s="45"/>
      <c r="P175" s="45"/>
      <c r="Q175" s="45"/>
      <c r="R175" s="50"/>
      <c r="S175" s="45"/>
      <c r="T175" s="51"/>
      <c r="U175" s="53"/>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ht="12.75" customHeight="1">
      <c r="A176" s="50"/>
      <c r="B176" s="50"/>
      <c r="C176" s="51"/>
      <c r="D176" s="45"/>
      <c r="E176" s="50"/>
      <c r="F176" s="50"/>
      <c r="G176" s="51"/>
      <c r="H176" s="45"/>
      <c r="I176" s="52"/>
      <c r="J176" s="45"/>
      <c r="K176" s="45"/>
      <c r="L176" s="45"/>
      <c r="M176" s="52"/>
      <c r="N176" s="45"/>
      <c r="O176" s="45"/>
      <c r="P176" s="45"/>
      <c r="Q176" s="45"/>
      <c r="R176" s="50"/>
      <c r="S176" s="45"/>
      <c r="T176" s="51"/>
      <c r="U176" s="53"/>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ht="12.75" customHeight="1">
      <c r="A177" s="50"/>
      <c r="B177" s="50"/>
      <c r="C177" s="51"/>
      <c r="D177" s="45"/>
      <c r="E177" s="50"/>
      <c r="F177" s="50"/>
      <c r="G177" s="51"/>
      <c r="H177" s="45"/>
      <c r="I177" s="52"/>
      <c r="J177" s="45"/>
      <c r="K177" s="45"/>
      <c r="L177" s="45"/>
      <c r="M177" s="52"/>
      <c r="N177" s="45"/>
      <c r="O177" s="45"/>
      <c r="P177" s="45"/>
      <c r="Q177" s="45"/>
      <c r="R177" s="50"/>
      <c r="S177" s="45"/>
      <c r="T177" s="51"/>
      <c r="U177" s="53"/>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ht="12.75" customHeight="1">
      <c r="A178" s="50"/>
      <c r="B178" s="50"/>
      <c r="C178" s="51"/>
      <c r="D178" s="45"/>
      <c r="E178" s="50"/>
      <c r="F178" s="50"/>
      <c r="G178" s="51"/>
      <c r="H178" s="45"/>
      <c r="I178" s="52"/>
      <c r="J178" s="45"/>
      <c r="K178" s="45"/>
      <c r="L178" s="45"/>
      <c r="M178" s="52"/>
      <c r="N178" s="45"/>
      <c r="O178" s="45"/>
      <c r="P178" s="45"/>
      <c r="Q178" s="45"/>
      <c r="R178" s="50"/>
      <c r="S178" s="45"/>
      <c r="T178" s="51"/>
      <c r="U178" s="53"/>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ht="12.75" customHeight="1">
      <c r="A179" s="50"/>
      <c r="B179" s="50"/>
      <c r="C179" s="51"/>
      <c r="D179" s="45"/>
      <c r="E179" s="50"/>
      <c r="F179" s="50"/>
      <c r="G179" s="51"/>
      <c r="H179" s="45"/>
      <c r="I179" s="52"/>
      <c r="J179" s="45"/>
      <c r="K179" s="45"/>
      <c r="L179" s="45"/>
      <c r="M179" s="52"/>
      <c r="N179" s="45"/>
      <c r="O179" s="45"/>
      <c r="P179" s="45"/>
      <c r="Q179" s="45"/>
      <c r="R179" s="50"/>
      <c r="S179" s="45"/>
      <c r="T179" s="51"/>
      <c r="U179" s="53"/>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ht="12.75" customHeight="1">
      <c r="A180" s="50"/>
      <c r="B180" s="50"/>
      <c r="C180" s="51"/>
      <c r="D180" s="45"/>
      <c r="E180" s="50"/>
      <c r="F180" s="50"/>
      <c r="G180" s="51"/>
      <c r="H180" s="45"/>
      <c r="I180" s="52"/>
      <c r="J180" s="45"/>
      <c r="K180" s="45"/>
      <c r="L180" s="45"/>
      <c r="M180" s="52"/>
      <c r="N180" s="45"/>
      <c r="O180" s="45"/>
      <c r="P180" s="45"/>
      <c r="Q180" s="45"/>
      <c r="R180" s="50"/>
      <c r="S180" s="45"/>
      <c r="T180" s="51"/>
      <c r="U180" s="53"/>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ht="12.75" customHeight="1">
      <c r="A181" s="50"/>
      <c r="B181" s="50"/>
      <c r="C181" s="51"/>
      <c r="D181" s="45"/>
      <c r="E181" s="50"/>
      <c r="F181" s="50"/>
      <c r="G181" s="51"/>
      <c r="H181" s="45"/>
      <c r="I181" s="52"/>
      <c r="J181" s="45"/>
      <c r="K181" s="45"/>
      <c r="L181" s="45"/>
      <c r="M181" s="52"/>
      <c r="N181" s="45"/>
      <c r="O181" s="45"/>
      <c r="P181" s="45"/>
      <c r="Q181" s="45"/>
      <c r="R181" s="50"/>
      <c r="S181" s="45"/>
      <c r="T181" s="51"/>
      <c r="U181" s="53"/>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ht="12.75" customHeight="1">
      <c r="A182" s="50"/>
      <c r="B182" s="50"/>
      <c r="C182" s="51"/>
      <c r="D182" s="45"/>
      <c r="E182" s="50"/>
      <c r="F182" s="50"/>
      <c r="G182" s="51"/>
      <c r="H182" s="45"/>
      <c r="I182" s="52"/>
      <c r="J182" s="45"/>
      <c r="K182" s="45"/>
      <c r="L182" s="45"/>
      <c r="M182" s="52"/>
      <c r="N182" s="45"/>
      <c r="O182" s="45"/>
      <c r="P182" s="45"/>
      <c r="Q182" s="45"/>
      <c r="R182" s="50"/>
      <c r="S182" s="45"/>
      <c r="T182" s="51"/>
      <c r="U182" s="53"/>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ht="12.75" customHeight="1">
      <c r="A183" s="50"/>
      <c r="B183" s="50"/>
      <c r="C183" s="51"/>
      <c r="D183" s="45"/>
      <c r="E183" s="50"/>
      <c r="F183" s="50"/>
      <c r="G183" s="51"/>
      <c r="H183" s="45"/>
      <c r="I183" s="52"/>
      <c r="J183" s="45"/>
      <c r="K183" s="45"/>
      <c r="L183" s="45"/>
      <c r="M183" s="52"/>
      <c r="N183" s="45"/>
      <c r="O183" s="45"/>
      <c r="P183" s="45"/>
      <c r="Q183" s="45"/>
      <c r="R183" s="50"/>
      <c r="S183" s="45"/>
      <c r="T183" s="51"/>
      <c r="U183" s="53"/>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ht="12.75" customHeight="1">
      <c r="A184" s="50"/>
      <c r="B184" s="50"/>
      <c r="C184" s="51"/>
      <c r="D184" s="45"/>
      <c r="E184" s="50"/>
      <c r="F184" s="50"/>
      <c r="G184" s="51"/>
      <c r="H184" s="45"/>
      <c r="I184" s="52"/>
      <c r="J184" s="45"/>
      <c r="K184" s="45"/>
      <c r="L184" s="45"/>
      <c r="M184" s="52"/>
      <c r="N184" s="45"/>
      <c r="O184" s="45"/>
      <c r="P184" s="45"/>
      <c r="Q184" s="45"/>
      <c r="R184" s="50"/>
      <c r="S184" s="45"/>
      <c r="T184" s="51"/>
      <c r="U184" s="53"/>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ht="12.75" customHeight="1">
      <c r="A185" s="50"/>
      <c r="B185" s="50"/>
      <c r="C185" s="51"/>
      <c r="D185" s="45"/>
      <c r="E185" s="50"/>
      <c r="F185" s="50"/>
      <c r="G185" s="51"/>
      <c r="H185" s="45"/>
      <c r="I185" s="52"/>
      <c r="J185" s="45"/>
      <c r="K185" s="45"/>
      <c r="L185" s="45"/>
      <c r="M185" s="52"/>
      <c r="N185" s="45"/>
      <c r="O185" s="45"/>
      <c r="P185" s="45"/>
      <c r="Q185" s="45"/>
      <c r="R185" s="50"/>
      <c r="S185" s="45"/>
      <c r="T185" s="51"/>
      <c r="U185" s="53"/>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ht="12.75" customHeight="1">
      <c r="A186" s="50"/>
      <c r="B186" s="50"/>
      <c r="C186" s="51"/>
      <c r="D186" s="45"/>
      <c r="E186" s="50"/>
      <c r="F186" s="50"/>
      <c r="G186" s="51"/>
      <c r="H186" s="45"/>
      <c r="I186" s="52"/>
      <c r="J186" s="45"/>
      <c r="K186" s="45"/>
      <c r="L186" s="45"/>
      <c r="M186" s="52"/>
      <c r="N186" s="45"/>
      <c r="O186" s="45"/>
      <c r="P186" s="45"/>
      <c r="Q186" s="45"/>
      <c r="R186" s="50"/>
      <c r="S186" s="45"/>
      <c r="T186" s="51"/>
      <c r="U186" s="53"/>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ht="12.75" customHeight="1">
      <c r="A187" s="50"/>
      <c r="B187" s="50"/>
      <c r="C187" s="51"/>
      <c r="D187" s="45"/>
      <c r="E187" s="50"/>
      <c r="F187" s="50"/>
      <c r="G187" s="51"/>
      <c r="H187" s="45"/>
      <c r="I187" s="52"/>
      <c r="J187" s="45"/>
      <c r="K187" s="45"/>
      <c r="L187" s="45"/>
      <c r="M187" s="52"/>
      <c r="N187" s="45"/>
      <c r="O187" s="45"/>
      <c r="P187" s="45"/>
      <c r="Q187" s="45"/>
      <c r="R187" s="50"/>
      <c r="S187" s="45"/>
      <c r="T187" s="51"/>
      <c r="U187" s="53"/>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ht="12.75" customHeight="1">
      <c r="A188" s="50"/>
      <c r="B188" s="50"/>
      <c r="C188" s="51"/>
      <c r="D188" s="45"/>
      <c r="E188" s="50"/>
      <c r="F188" s="50"/>
      <c r="G188" s="51"/>
      <c r="H188" s="45"/>
      <c r="I188" s="52"/>
      <c r="J188" s="45"/>
      <c r="K188" s="45"/>
      <c r="L188" s="45"/>
      <c r="M188" s="52"/>
      <c r="N188" s="45"/>
      <c r="O188" s="45"/>
      <c r="P188" s="45"/>
      <c r="Q188" s="45"/>
      <c r="R188" s="50"/>
      <c r="S188" s="45"/>
      <c r="T188" s="51"/>
      <c r="U188" s="53"/>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ht="12.75" customHeight="1">
      <c r="A189" s="50"/>
      <c r="B189" s="50"/>
      <c r="C189" s="51"/>
      <c r="D189" s="45"/>
      <c r="E189" s="50"/>
      <c r="F189" s="50"/>
      <c r="G189" s="51"/>
      <c r="H189" s="45"/>
      <c r="I189" s="52"/>
      <c r="J189" s="45"/>
      <c r="K189" s="45"/>
      <c r="L189" s="45"/>
      <c r="M189" s="52"/>
      <c r="N189" s="45"/>
      <c r="O189" s="45"/>
      <c r="P189" s="45"/>
      <c r="Q189" s="45"/>
      <c r="R189" s="50"/>
      <c r="S189" s="45"/>
      <c r="T189" s="51"/>
      <c r="U189" s="53"/>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ht="12.75" customHeight="1">
      <c r="A190" s="50"/>
      <c r="B190" s="50"/>
      <c r="C190" s="51"/>
      <c r="D190" s="45"/>
      <c r="E190" s="50"/>
      <c r="F190" s="50"/>
      <c r="G190" s="51"/>
      <c r="H190" s="45"/>
      <c r="I190" s="52"/>
      <c r="J190" s="45"/>
      <c r="K190" s="45"/>
      <c r="L190" s="45"/>
      <c r="M190" s="52"/>
      <c r="N190" s="45"/>
      <c r="O190" s="45"/>
      <c r="P190" s="45"/>
      <c r="Q190" s="45"/>
      <c r="R190" s="50"/>
      <c r="S190" s="45"/>
      <c r="T190" s="51"/>
      <c r="U190" s="53"/>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ht="12.75" customHeight="1">
      <c r="A191" s="50"/>
      <c r="B191" s="50"/>
      <c r="C191" s="51"/>
      <c r="D191" s="45"/>
      <c r="E191" s="50"/>
      <c r="F191" s="50"/>
      <c r="G191" s="51"/>
      <c r="H191" s="45"/>
      <c r="I191" s="52"/>
      <c r="J191" s="45"/>
      <c r="K191" s="45"/>
      <c r="L191" s="45"/>
      <c r="M191" s="52"/>
      <c r="N191" s="45"/>
      <c r="O191" s="45"/>
      <c r="P191" s="45"/>
      <c r="Q191" s="45"/>
      <c r="R191" s="50"/>
      <c r="S191" s="45"/>
      <c r="T191" s="51"/>
      <c r="U191" s="53"/>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ht="12.75" customHeight="1">
      <c r="A192" s="50"/>
      <c r="B192" s="50"/>
      <c r="C192" s="51"/>
      <c r="D192" s="45"/>
      <c r="E192" s="50"/>
      <c r="F192" s="50"/>
      <c r="G192" s="51"/>
      <c r="H192" s="45"/>
      <c r="I192" s="52"/>
      <c r="J192" s="45"/>
      <c r="K192" s="45"/>
      <c r="L192" s="45"/>
      <c r="M192" s="52"/>
      <c r="N192" s="45"/>
      <c r="O192" s="45"/>
      <c r="P192" s="45"/>
      <c r="Q192" s="45"/>
      <c r="R192" s="50"/>
      <c r="S192" s="45"/>
      <c r="T192" s="51"/>
      <c r="U192" s="53"/>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ht="12.75" customHeight="1">
      <c r="A193" s="50"/>
      <c r="B193" s="50"/>
      <c r="C193" s="51"/>
      <c r="D193" s="45"/>
      <c r="E193" s="50"/>
      <c r="F193" s="50"/>
      <c r="G193" s="51"/>
      <c r="H193" s="45"/>
      <c r="I193" s="52"/>
      <c r="J193" s="45"/>
      <c r="K193" s="45"/>
      <c r="L193" s="45"/>
      <c r="M193" s="52"/>
      <c r="N193" s="45"/>
      <c r="O193" s="45"/>
      <c r="P193" s="45"/>
      <c r="Q193" s="45"/>
      <c r="R193" s="50"/>
      <c r="S193" s="45"/>
      <c r="T193" s="51"/>
      <c r="U193" s="53"/>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ht="12.75" customHeight="1">
      <c r="A194" s="50"/>
      <c r="B194" s="50"/>
      <c r="C194" s="51"/>
      <c r="D194" s="45"/>
      <c r="E194" s="50"/>
      <c r="F194" s="50"/>
      <c r="G194" s="51"/>
      <c r="H194" s="45"/>
      <c r="I194" s="52"/>
      <c r="J194" s="45"/>
      <c r="K194" s="45"/>
      <c r="L194" s="45"/>
      <c r="M194" s="52"/>
      <c r="N194" s="45"/>
      <c r="O194" s="45"/>
      <c r="P194" s="45"/>
      <c r="Q194" s="45"/>
      <c r="R194" s="50"/>
      <c r="S194" s="45"/>
      <c r="T194" s="51"/>
      <c r="U194" s="53"/>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ht="12.75" customHeight="1">
      <c r="A195" s="50"/>
      <c r="B195" s="50"/>
      <c r="C195" s="51"/>
      <c r="D195" s="45"/>
      <c r="E195" s="50"/>
      <c r="F195" s="50"/>
      <c r="G195" s="51"/>
      <c r="H195" s="45"/>
      <c r="I195" s="52"/>
      <c r="J195" s="45"/>
      <c r="K195" s="45"/>
      <c r="L195" s="45"/>
      <c r="M195" s="52"/>
      <c r="N195" s="45"/>
      <c r="O195" s="45"/>
      <c r="P195" s="45"/>
      <c r="Q195" s="45"/>
      <c r="R195" s="50"/>
      <c r="S195" s="45"/>
      <c r="T195" s="51"/>
      <c r="U195" s="53"/>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ht="12.75" customHeight="1">
      <c r="A196" s="50"/>
      <c r="B196" s="50"/>
      <c r="C196" s="51"/>
      <c r="D196" s="45"/>
      <c r="E196" s="50"/>
      <c r="F196" s="50"/>
      <c r="G196" s="51"/>
      <c r="H196" s="45"/>
      <c r="I196" s="52"/>
      <c r="J196" s="45"/>
      <c r="K196" s="45"/>
      <c r="L196" s="45"/>
      <c r="M196" s="52"/>
      <c r="N196" s="45"/>
      <c r="O196" s="45"/>
      <c r="P196" s="45"/>
      <c r="Q196" s="45"/>
      <c r="R196" s="50"/>
      <c r="S196" s="45"/>
      <c r="T196" s="51"/>
      <c r="U196" s="53"/>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ht="12.75" customHeight="1">
      <c r="A197" s="50"/>
      <c r="B197" s="50"/>
      <c r="C197" s="51"/>
      <c r="D197" s="45"/>
      <c r="E197" s="50"/>
      <c r="F197" s="50"/>
      <c r="G197" s="51"/>
      <c r="H197" s="45"/>
      <c r="I197" s="52"/>
      <c r="J197" s="45"/>
      <c r="K197" s="45"/>
      <c r="L197" s="45"/>
      <c r="M197" s="52"/>
      <c r="N197" s="45"/>
      <c r="O197" s="45"/>
      <c r="P197" s="45"/>
      <c r="Q197" s="45"/>
      <c r="R197" s="50"/>
      <c r="S197" s="45"/>
      <c r="T197" s="51"/>
      <c r="U197" s="53"/>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ht="12.75" customHeight="1">
      <c r="A198" s="50"/>
      <c r="B198" s="50"/>
      <c r="C198" s="51"/>
      <c r="D198" s="45"/>
      <c r="E198" s="50"/>
      <c r="F198" s="50"/>
      <c r="G198" s="51"/>
      <c r="H198" s="45"/>
      <c r="I198" s="52"/>
      <c r="J198" s="45"/>
      <c r="K198" s="45"/>
      <c r="L198" s="45"/>
      <c r="M198" s="52"/>
      <c r="N198" s="45"/>
      <c r="O198" s="45"/>
      <c r="P198" s="45"/>
      <c r="Q198" s="45"/>
      <c r="R198" s="50"/>
      <c r="S198" s="45"/>
      <c r="T198" s="51"/>
      <c r="U198" s="53"/>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ht="12.75" customHeight="1">
      <c r="A199" s="50"/>
      <c r="B199" s="50"/>
      <c r="C199" s="51"/>
      <c r="D199" s="45"/>
      <c r="E199" s="50"/>
      <c r="F199" s="50"/>
      <c r="G199" s="51"/>
      <c r="H199" s="45"/>
      <c r="I199" s="52"/>
      <c r="J199" s="45"/>
      <c r="K199" s="45"/>
      <c r="L199" s="45"/>
      <c r="M199" s="52"/>
      <c r="N199" s="45"/>
      <c r="O199" s="45"/>
      <c r="P199" s="45"/>
      <c r="Q199" s="45"/>
      <c r="R199" s="50"/>
      <c r="S199" s="45"/>
      <c r="T199" s="51"/>
      <c r="U199" s="53"/>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ht="12.75" customHeight="1">
      <c r="A200" s="50"/>
      <c r="B200" s="50"/>
      <c r="C200" s="51"/>
      <c r="D200" s="45"/>
      <c r="E200" s="50"/>
      <c r="F200" s="50"/>
      <c r="G200" s="51"/>
      <c r="H200" s="45"/>
      <c r="I200" s="52"/>
      <c r="J200" s="45"/>
      <c r="K200" s="45"/>
      <c r="L200" s="45"/>
      <c r="M200" s="52"/>
      <c r="N200" s="45"/>
      <c r="O200" s="45"/>
      <c r="P200" s="45"/>
      <c r="Q200" s="45"/>
      <c r="R200" s="50"/>
      <c r="S200" s="45"/>
      <c r="T200" s="51"/>
      <c r="U200" s="53"/>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ht="12.75" customHeight="1">
      <c r="A201" s="50"/>
      <c r="B201" s="50"/>
      <c r="C201" s="51"/>
      <c r="D201" s="45"/>
      <c r="E201" s="50"/>
      <c r="F201" s="50"/>
      <c r="G201" s="51"/>
      <c r="H201" s="45"/>
      <c r="I201" s="52"/>
      <c r="J201" s="45"/>
      <c r="K201" s="45"/>
      <c r="L201" s="45"/>
      <c r="M201" s="52"/>
      <c r="N201" s="45"/>
      <c r="O201" s="45"/>
      <c r="P201" s="45"/>
      <c r="Q201" s="45"/>
      <c r="R201" s="50"/>
      <c r="S201" s="45"/>
      <c r="T201" s="51"/>
      <c r="U201" s="53"/>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ht="12.75" customHeight="1">
      <c r="A202" s="50"/>
      <c r="B202" s="50"/>
      <c r="C202" s="51"/>
      <c r="D202" s="45"/>
      <c r="E202" s="50"/>
      <c r="F202" s="50"/>
      <c r="G202" s="51"/>
      <c r="H202" s="45"/>
      <c r="I202" s="52"/>
      <c r="J202" s="45"/>
      <c r="K202" s="45"/>
      <c r="L202" s="45"/>
      <c r="M202" s="52"/>
      <c r="N202" s="45"/>
      <c r="O202" s="45"/>
      <c r="P202" s="45"/>
      <c r="Q202" s="45"/>
      <c r="R202" s="50"/>
      <c r="S202" s="45"/>
      <c r="T202" s="51"/>
      <c r="U202" s="53"/>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ht="12.75" customHeight="1">
      <c r="A203" s="50"/>
      <c r="B203" s="50"/>
      <c r="C203" s="51"/>
      <c r="D203" s="45"/>
      <c r="E203" s="50"/>
      <c r="F203" s="50"/>
      <c r="G203" s="51"/>
      <c r="H203" s="45"/>
      <c r="I203" s="52"/>
      <c r="J203" s="45"/>
      <c r="K203" s="45"/>
      <c r="L203" s="45"/>
      <c r="M203" s="52"/>
      <c r="N203" s="45"/>
      <c r="O203" s="45"/>
      <c r="P203" s="45"/>
      <c r="Q203" s="45"/>
      <c r="R203" s="50"/>
      <c r="S203" s="45"/>
      <c r="T203" s="51"/>
      <c r="U203" s="53"/>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ht="12.75" customHeight="1">
      <c r="A204" s="50"/>
      <c r="B204" s="50"/>
      <c r="C204" s="51"/>
      <c r="D204" s="45"/>
      <c r="E204" s="50"/>
      <c r="F204" s="50"/>
      <c r="G204" s="51"/>
      <c r="H204" s="45"/>
      <c r="I204" s="52"/>
      <c r="J204" s="45"/>
      <c r="K204" s="45"/>
      <c r="L204" s="45"/>
      <c r="M204" s="52"/>
      <c r="N204" s="45"/>
      <c r="O204" s="45"/>
      <c r="P204" s="45"/>
      <c r="Q204" s="45"/>
      <c r="R204" s="50"/>
      <c r="S204" s="45"/>
      <c r="T204" s="51"/>
      <c r="U204" s="53"/>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ht="12.75" customHeight="1">
      <c r="A205" s="50"/>
      <c r="B205" s="50"/>
      <c r="C205" s="51"/>
      <c r="D205" s="45"/>
      <c r="E205" s="50"/>
      <c r="F205" s="50"/>
      <c r="G205" s="51"/>
      <c r="H205" s="45"/>
      <c r="I205" s="52"/>
      <c r="J205" s="45"/>
      <c r="K205" s="45"/>
      <c r="L205" s="45"/>
      <c r="M205" s="52"/>
      <c r="N205" s="45"/>
      <c r="O205" s="45"/>
      <c r="P205" s="45"/>
      <c r="Q205" s="45"/>
      <c r="R205" s="50"/>
      <c r="S205" s="45"/>
      <c r="T205" s="51"/>
      <c r="U205" s="53"/>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ht="12.75" customHeight="1">
      <c r="A206" s="50"/>
      <c r="B206" s="50"/>
      <c r="C206" s="51"/>
      <c r="D206" s="45"/>
      <c r="E206" s="50"/>
      <c r="F206" s="50"/>
      <c r="G206" s="51"/>
      <c r="H206" s="45"/>
      <c r="I206" s="52"/>
      <c r="J206" s="45"/>
      <c r="K206" s="45"/>
      <c r="L206" s="45"/>
      <c r="M206" s="52"/>
      <c r="N206" s="45"/>
      <c r="O206" s="45"/>
      <c r="P206" s="45"/>
      <c r="Q206" s="45"/>
      <c r="R206" s="50"/>
      <c r="S206" s="45"/>
      <c r="T206" s="51"/>
      <c r="U206" s="53"/>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ht="12.75" customHeight="1">
      <c r="A207" s="50"/>
      <c r="B207" s="50"/>
      <c r="C207" s="51"/>
      <c r="D207" s="45"/>
      <c r="E207" s="50"/>
      <c r="F207" s="50"/>
      <c r="G207" s="51"/>
      <c r="H207" s="45"/>
      <c r="I207" s="52"/>
      <c r="J207" s="45"/>
      <c r="K207" s="45"/>
      <c r="L207" s="45"/>
      <c r="M207" s="52"/>
      <c r="N207" s="45"/>
      <c r="O207" s="45"/>
      <c r="P207" s="45"/>
      <c r="Q207" s="45"/>
      <c r="R207" s="50"/>
      <c r="S207" s="45"/>
      <c r="T207" s="51"/>
      <c r="U207" s="53"/>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ht="12.75" customHeight="1">
      <c r="A208" s="50"/>
      <c r="B208" s="50"/>
      <c r="C208" s="51"/>
      <c r="D208" s="45"/>
      <c r="E208" s="50"/>
      <c r="F208" s="50"/>
      <c r="G208" s="51"/>
      <c r="H208" s="45"/>
      <c r="I208" s="52"/>
      <c r="J208" s="45"/>
      <c r="K208" s="45"/>
      <c r="L208" s="45"/>
      <c r="M208" s="52"/>
      <c r="N208" s="45"/>
      <c r="O208" s="45"/>
      <c r="P208" s="45"/>
      <c r="Q208" s="45"/>
      <c r="R208" s="50"/>
      <c r="S208" s="45"/>
      <c r="T208" s="51"/>
      <c r="U208" s="53"/>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ht="12.75" customHeight="1">
      <c r="A209" s="50"/>
      <c r="B209" s="50"/>
      <c r="C209" s="51"/>
      <c r="D209" s="45"/>
      <c r="E209" s="50"/>
      <c r="F209" s="50"/>
      <c r="G209" s="51"/>
      <c r="H209" s="45"/>
      <c r="I209" s="52"/>
      <c r="J209" s="45"/>
      <c r="K209" s="45"/>
      <c r="L209" s="45"/>
      <c r="M209" s="52"/>
      <c r="N209" s="45"/>
      <c r="O209" s="45"/>
      <c r="P209" s="45"/>
      <c r="Q209" s="45"/>
      <c r="R209" s="50"/>
      <c r="S209" s="45"/>
      <c r="T209" s="51"/>
      <c r="U209" s="53"/>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ht="12.75" customHeight="1">
      <c r="A210" s="50"/>
      <c r="B210" s="50"/>
      <c r="C210" s="51"/>
      <c r="D210" s="45"/>
      <c r="E210" s="50"/>
      <c r="F210" s="50"/>
      <c r="G210" s="51"/>
      <c r="H210" s="45"/>
      <c r="I210" s="52"/>
      <c r="J210" s="45"/>
      <c r="K210" s="45"/>
      <c r="L210" s="45"/>
      <c r="M210" s="52"/>
      <c r="N210" s="45"/>
      <c r="O210" s="45"/>
      <c r="P210" s="45"/>
      <c r="Q210" s="45"/>
      <c r="R210" s="50"/>
      <c r="S210" s="45"/>
      <c r="T210" s="51"/>
      <c r="U210" s="53"/>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ht="12.75" customHeight="1">
      <c r="A211" s="50"/>
      <c r="B211" s="50"/>
      <c r="C211" s="51"/>
      <c r="D211" s="45"/>
      <c r="E211" s="50"/>
      <c r="F211" s="50"/>
      <c r="G211" s="51"/>
      <c r="H211" s="45"/>
      <c r="I211" s="52"/>
      <c r="J211" s="45"/>
      <c r="K211" s="45"/>
      <c r="L211" s="45"/>
      <c r="M211" s="52"/>
      <c r="N211" s="45"/>
      <c r="O211" s="45"/>
      <c r="P211" s="45"/>
      <c r="Q211" s="45"/>
      <c r="R211" s="50"/>
      <c r="S211" s="45"/>
      <c r="T211" s="51"/>
      <c r="U211" s="53"/>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ht="12.75" customHeight="1">
      <c r="A212" s="50"/>
      <c r="B212" s="50"/>
      <c r="C212" s="51"/>
      <c r="D212" s="45"/>
      <c r="E212" s="50"/>
      <c r="F212" s="50"/>
      <c r="G212" s="51"/>
      <c r="H212" s="45"/>
      <c r="I212" s="52"/>
      <c r="J212" s="45"/>
      <c r="K212" s="45"/>
      <c r="L212" s="45"/>
      <c r="M212" s="52"/>
      <c r="N212" s="45"/>
      <c r="O212" s="45"/>
      <c r="P212" s="45"/>
      <c r="Q212" s="45"/>
      <c r="R212" s="50"/>
      <c r="S212" s="45"/>
      <c r="T212" s="51"/>
      <c r="U212" s="53"/>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ht="12.75" customHeight="1">
      <c r="A213" s="50"/>
      <c r="B213" s="50"/>
      <c r="C213" s="51"/>
      <c r="D213" s="45"/>
      <c r="E213" s="50"/>
      <c r="F213" s="50"/>
      <c r="G213" s="51"/>
      <c r="H213" s="45"/>
      <c r="I213" s="52"/>
      <c r="J213" s="45"/>
      <c r="K213" s="45"/>
      <c r="L213" s="45"/>
      <c r="M213" s="52"/>
      <c r="N213" s="45"/>
      <c r="O213" s="45"/>
      <c r="P213" s="45"/>
      <c r="Q213" s="45"/>
      <c r="R213" s="50"/>
      <c r="S213" s="45"/>
      <c r="T213" s="51"/>
      <c r="U213" s="53"/>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ht="12.75" customHeight="1">
      <c r="A214" s="50"/>
      <c r="B214" s="50"/>
      <c r="C214" s="51"/>
      <c r="D214" s="45"/>
      <c r="E214" s="50"/>
      <c r="F214" s="50"/>
      <c r="G214" s="51"/>
      <c r="H214" s="45"/>
      <c r="I214" s="52"/>
      <c r="J214" s="45"/>
      <c r="K214" s="45"/>
      <c r="L214" s="45"/>
      <c r="M214" s="52"/>
      <c r="N214" s="45"/>
      <c r="O214" s="45"/>
      <c r="P214" s="45"/>
      <c r="Q214" s="45"/>
      <c r="R214" s="50"/>
      <c r="S214" s="45"/>
      <c r="T214" s="51"/>
      <c r="U214" s="53"/>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ht="12.75" customHeight="1">
      <c r="A215" s="50"/>
      <c r="B215" s="50"/>
      <c r="C215" s="51"/>
      <c r="D215" s="45"/>
      <c r="E215" s="50"/>
      <c r="F215" s="50"/>
      <c r="G215" s="51"/>
      <c r="H215" s="45"/>
      <c r="I215" s="52"/>
      <c r="J215" s="45"/>
      <c r="K215" s="45"/>
      <c r="L215" s="45"/>
      <c r="M215" s="52"/>
      <c r="N215" s="45"/>
      <c r="O215" s="45"/>
      <c r="P215" s="45"/>
      <c r="Q215" s="45"/>
      <c r="R215" s="50"/>
      <c r="S215" s="45"/>
      <c r="T215" s="51"/>
      <c r="U215" s="53"/>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ht="12.75" customHeight="1">
      <c r="A216" s="50"/>
      <c r="B216" s="50"/>
      <c r="C216" s="51"/>
      <c r="D216" s="45"/>
      <c r="E216" s="50"/>
      <c r="F216" s="50"/>
      <c r="G216" s="51"/>
      <c r="H216" s="45"/>
      <c r="I216" s="52"/>
      <c r="J216" s="45"/>
      <c r="K216" s="45"/>
      <c r="L216" s="45"/>
      <c r="M216" s="52"/>
      <c r="N216" s="45"/>
      <c r="O216" s="45"/>
      <c r="P216" s="45"/>
      <c r="Q216" s="45"/>
      <c r="R216" s="50"/>
      <c r="S216" s="45"/>
      <c r="T216" s="51"/>
      <c r="U216" s="53"/>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ht="12.75" customHeight="1">
      <c r="A217" s="50"/>
      <c r="B217" s="50"/>
      <c r="C217" s="51"/>
      <c r="D217" s="45"/>
      <c r="E217" s="50"/>
      <c r="F217" s="50"/>
      <c r="G217" s="51"/>
      <c r="H217" s="45"/>
      <c r="I217" s="52"/>
      <c r="J217" s="45"/>
      <c r="K217" s="45"/>
      <c r="L217" s="45"/>
      <c r="M217" s="52"/>
      <c r="N217" s="45"/>
      <c r="O217" s="45"/>
      <c r="P217" s="45"/>
      <c r="Q217" s="45"/>
      <c r="R217" s="50"/>
      <c r="S217" s="45"/>
      <c r="T217" s="51"/>
      <c r="U217" s="53"/>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ht="12.75" customHeight="1">
      <c r="A218" s="50"/>
      <c r="B218" s="50"/>
      <c r="C218" s="51"/>
      <c r="D218" s="45"/>
      <c r="E218" s="50"/>
      <c r="F218" s="50"/>
      <c r="G218" s="51"/>
      <c r="H218" s="45"/>
      <c r="I218" s="52"/>
      <c r="J218" s="45"/>
      <c r="K218" s="45"/>
      <c r="L218" s="45"/>
      <c r="M218" s="52"/>
      <c r="N218" s="45"/>
      <c r="O218" s="45"/>
      <c r="P218" s="45"/>
      <c r="Q218" s="45"/>
      <c r="R218" s="50"/>
      <c r="S218" s="45"/>
      <c r="T218" s="51"/>
      <c r="U218" s="53"/>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ht="12.75" customHeight="1">
      <c r="A219" s="50"/>
      <c r="B219" s="50"/>
      <c r="C219" s="51"/>
      <c r="D219" s="45"/>
      <c r="E219" s="50"/>
      <c r="F219" s="50"/>
      <c r="G219" s="51"/>
      <c r="H219" s="45"/>
      <c r="I219" s="52"/>
      <c r="J219" s="45"/>
      <c r="K219" s="45"/>
      <c r="L219" s="45"/>
      <c r="M219" s="52"/>
      <c r="N219" s="45"/>
      <c r="O219" s="45"/>
      <c r="P219" s="45"/>
      <c r="Q219" s="45"/>
      <c r="R219" s="50"/>
      <c r="S219" s="45"/>
      <c r="T219" s="51"/>
      <c r="U219" s="53"/>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ht="12.75" customHeight="1">
      <c r="A220" s="50"/>
      <c r="B220" s="50"/>
      <c r="C220" s="51"/>
      <c r="D220" s="45"/>
      <c r="E220" s="50"/>
      <c r="F220" s="50"/>
      <c r="G220" s="51"/>
      <c r="H220" s="45"/>
      <c r="I220" s="52"/>
      <c r="J220" s="45"/>
      <c r="K220" s="45"/>
      <c r="L220" s="45"/>
      <c r="M220" s="52"/>
      <c r="N220" s="45"/>
      <c r="O220" s="45"/>
      <c r="P220" s="45"/>
      <c r="Q220" s="45"/>
      <c r="R220" s="50"/>
      <c r="S220" s="45"/>
      <c r="T220" s="51"/>
      <c r="U220" s="53"/>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ht="12.75" customHeight="1">
      <c r="A221" s="50"/>
      <c r="B221" s="50"/>
      <c r="C221" s="51"/>
      <c r="D221" s="45"/>
      <c r="E221" s="50"/>
      <c r="F221" s="50"/>
      <c r="G221" s="51"/>
      <c r="H221" s="45"/>
      <c r="I221" s="52"/>
      <c r="J221" s="45"/>
      <c r="K221" s="45"/>
      <c r="L221" s="45"/>
      <c r="M221" s="52"/>
      <c r="N221" s="45"/>
      <c r="O221" s="45"/>
      <c r="P221" s="45"/>
      <c r="Q221" s="45"/>
      <c r="R221" s="50"/>
      <c r="S221" s="45"/>
      <c r="T221" s="51"/>
      <c r="U221" s="53"/>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ht="12.75" customHeight="1">
      <c r="A222" s="50"/>
      <c r="B222" s="50"/>
      <c r="C222" s="51"/>
      <c r="D222" s="45"/>
      <c r="E222" s="50"/>
      <c r="F222" s="50"/>
      <c r="G222" s="51"/>
      <c r="H222" s="45"/>
      <c r="I222" s="52"/>
      <c r="J222" s="45"/>
      <c r="K222" s="45"/>
      <c r="L222" s="45"/>
      <c r="M222" s="52"/>
      <c r="N222" s="45"/>
      <c r="O222" s="45"/>
      <c r="P222" s="45"/>
      <c r="Q222" s="45"/>
      <c r="R222" s="50"/>
      <c r="S222" s="45"/>
      <c r="T222" s="51"/>
      <c r="U222" s="53"/>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ht="12.75" customHeight="1">
      <c r="A223" s="50"/>
      <c r="B223" s="50"/>
      <c r="C223" s="51"/>
      <c r="D223" s="45"/>
      <c r="E223" s="50"/>
      <c r="F223" s="50"/>
      <c r="G223" s="51"/>
      <c r="H223" s="45"/>
      <c r="I223" s="52"/>
      <c r="J223" s="45"/>
      <c r="K223" s="45"/>
      <c r="L223" s="45"/>
      <c r="M223" s="52"/>
      <c r="N223" s="45"/>
      <c r="O223" s="45"/>
      <c r="P223" s="45"/>
      <c r="Q223" s="45"/>
      <c r="R223" s="50"/>
      <c r="S223" s="45"/>
      <c r="T223" s="51"/>
      <c r="U223" s="53"/>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ht="12.75" customHeight="1">
      <c r="A224" s="50"/>
      <c r="B224" s="50"/>
      <c r="C224" s="51"/>
      <c r="D224" s="45"/>
      <c r="E224" s="50"/>
      <c r="F224" s="50"/>
      <c r="G224" s="51"/>
      <c r="H224" s="45"/>
      <c r="I224" s="52"/>
      <c r="J224" s="45"/>
      <c r="K224" s="45"/>
      <c r="L224" s="45"/>
      <c r="M224" s="52"/>
      <c r="N224" s="45"/>
      <c r="O224" s="45"/>
      <c r="P224" s="45"/>
      <c r="Q224" s="45"/>
      <c r="R224" s="50"/>
      <c r="S224" s="45"/>
      <c r="T224" s="51"/>
      <c r="U224" s="53"/>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ht="12.75" customHeight="1">
      <c r="A225" s="50"/>
      <c r="B225" s="50"/>
      <c r="C225" s="51"/>
      <c r="D225" s="45"/>
      <c r="E225" s="50"/>
      <c r="F225" s="50"/>
      <c r="G225" s="51"/>
      <c r="H225" s="45"/>
      <c r="I225" s="52"/>
      <c r="J225" s="45"/>
      <c r="K225" s="45"/>
      <c r="L225" s="45"/>
      <c r="M225" s="52"/>
      <c r="N225" s="45"/>
      <c r="O225" s="45"/>
      <c r="P225" s="45"/>
      <c r="Q225" s="45"/>
      <c r="R225" s="50"/>
      <c r="S225" s="45"/>
      <c r="T225" s="51"/>
      <c r="U225" s="53"/>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ht="12.75" customHeight="1">
      <c r="A226" s="50"/>
      <c r="B226" s="50"/>
      <c r="C226" s="51"/>
      <c r="D226" s="45"/>
      <c r="E226" s="50"/>
      <c r="F226" s="50"/>
      <c r="G226" s="51"/>
      <c r="H226" s="45"/>
      <c r="I226" s="52"/>
      <c r="J226" s="45"/>
      <c r="K226" s="45"/>
      <c r="L226" s="45"/>
      <c r="M226" s="52"/>
      <c r="N226" s="45"/>
      <c r="O226" s="45"/>
      <c r="P226" s="45"/>
      <c r="Q226" s="45"/>
      <c r="R226" s="50"/>
      <c r="S226" s="45"/>
      <c r="T226" s="51"/>
      <c r="U226" s="53"/>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ht="12.75" customHeight="1">
      <c r="A227" s="50"/>
      <c r="B227" s="50"/>
      <c r="C227" s="51"/>
      <c r="D227" s="45"/>
      <c r="E227" s="50"/>
      <c r="F227" s="50"/>
      <c r="G227" s="51"/>
      <c r="H227" s="45"/>
      <c r="I227" s="52"/>
      <c r="J227" s="45"/>
      <c r="K227" s="45"/>
      <c r="L227" s="45"/>
      <c r="M227" s="52"/>
      <c r="N227" s="45"/>
      <c r="O227" s="45"/>
      <c r="P227" s="45"/>
      <c r="Q227" s="45"/>
      <c r="R227" s="50"/>
      <c r="S227" s="45"/>
      <c r="T227" s="51"/>
      <c r="U227" s="53"/>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row>
    <row r="228" spans="1:54" ht="12.75" customHeight="1">
      <c r="A228" s="50"/>
      <c r="B228" s="50"/>
      <c r="C228" s="51"/>
      <c r="D228" s="45"/>
      <c r="E228" s="50"/>
      <c r="F228" s="50"/>
      <c r="G228" s="51"/>
      <c r="H228" s="45"/>
      <c r="I228" s="52"/>
      <c r="J228" s="45"/>
      <c r="K228" s="45"/>
      <c r="L228" s="45"/>
      <c r="M228" s="52"/>
      <c r="N228" s="45"/>
      <c r="O228" s="45"/>
      <c r="P228" s="45"/>
      <c r="Q228" s="45"/>
      <c r="R228" s="50"/>
      <c r="S228" s="45"/>
      <c r="T228" s="51"/>
      <c r="U228" s="53"/>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row>
    <row r="229" spans="1:54" ht="12.75" customHeight="1">
      <c r="A229" s="50"/>
      <c r="B229" s="50"/>
      <c r="C229" s="51"/>
      <c r="D229" s="45"/>
      <c r="E229" s="50"/>
      <c r="F229" s="50"/>
      <c r="G229" s="51"/>
      <c r="H229" s="45"/>
      <c r="I229" s="52"/>
      <c r="J229" s="45"/>
      <c r="K229" s="45"/>
      <c r="L229" s="45"/>
      <c r="M229" s="52"/>
      <c r="N229" s="45"/>
      <c r="O229" s="45"/>
      <c r="P229" s="45"/>
      <c r="Q229" s="45"/>
      <c r="R229" s="50"/>
      <c r="S229" s="45"/>
      <c r="T229" s="51"/>
      <c r="U229" s="53"/>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row>
    <row r="230" spans="1:54" ht="12.75" customHeight="1">
      <c r="A230" s="50"/>
      <c r="B230" s="50"/>
      <c r="C230" s="51"/>
      <c r="D230" s="45"/>
      <c r="E230" s="50"/>
      <c r="F230" s="50"/>
      <c r="G230" s="51"/>
      <c r="H230" s="45"/>
      <c r="I230" s="52"/>
      <c r="J230" s="45"/>
      <c r="K230" s="45"/>
      <c r="L230" s="45"/>
      <c r="M230" s="52"/>
      <c r="N230" s="45"/>
      <c r="O230" s="45"/>
      <c r="P230" s="45"/>
      <c r="Q230" s="45"/>
      <c r="R230" s="50"/>
      <c r="S230" s="45"/>
      <c r="T230" s="51"/>
      <c r="U230" s="53"/>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row>
    <row r="231" spans="1:54" ht="12.75" customHeight="1">
      <c r="A231" s="50"/>
      <c r="B231" s="50"/>
      <c r="C231" s="51"/>
      <c r="D231" s="45"/>
      <c r="E231" s="50"/>
      <c r="F231" s="50"/>
      <c r="G231" s="51"/>
      <c r="H231" s="45"/>
      <c r="I231" s="52"/>
      <c r="J231" s="45"/>
      <c r="K231" s="45"/>
      <c r="L231" s="45"/>
      <c r="M231" s="52"/>
      <c r="N231" s="45"/>
      <c r="O231" s="45"/>
      <c r="P231" s="45"/>
      <c r="Q231" s="45"/>
      <c r="R231" s="50"/>
      <c r="S231" s="45"/>
      <c r="T231" s="51"/>
      <c r="U231" s="53"/>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row>
    <row r="232" spans="1:54" ht="12.75" customHeight="1">
      <c r="A232" s="50"/>
      <c r="B232" s="50"/>
      <c r="C232" s="51"/>
      <c r="D232" s="45"/>
      <c r="E232" s="50"/>
      <c r="F232" s="50"/>
      <c r="G232" s="51"/>
      <c r="H232" s="45"/>
      <c r="I232" s="52"/>
      <c r="J232" s="45"/>
      <c r="K232" s="45"/>
      <c r="L232" s="45"/>
      <c r="M232" s="52"/>
      <c r="N232" s="45"/>
      <c r="O232" s="45"/>
      <c r="P232" s="45"/>
      <c r="Q232" s="45"/>
      <c r="R232" s="50"/>
      <c r="S232" s="45"/>
      <c r="T232" s="51"/>
      <c r="U232" s="53"/>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row>
    <row r="233" spans="1:54" ht="12.75" customHeight="1">
      <c r="A233" s="50"/>
      <c r="B233" s="50"/>
      <c r="C233" s="51"/>
      <c r="D233" s="45"/>
      <c r="E233" s="50"/>
      <c r="F233" s="50"/>
      <c r="G233" s="51"/>
      <c r="H233" s="45"/>
      <c r="I233" s="52"/>
      <c r="J233" s="45"/>
      <c r="K233" s="45"/>
      <c r="L233" s="45"/>
      <c r="M233" s="52"/>
      <c r="N233" s="45"/>
      <c r="O233" s="45"/>
      <c r="P233" s="45"/>
      <c r="Q233" s="45"/>
      <c r="R233" s="50"/>
      <c r="S233" s="45"/>
      <c r="T233" s="51"/>
      <c r="U233" s="53"/>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row>
    <row r="234" spans="1:54" ht="12.75" customHeight="1">
      <c r="A234" s="50"/>
      <c r="B234" s="50"/>
      <c r="C234" s="51"/>
      <c r="D234" s="45"/>
      <c r="E234" s="50"/>
      <c r="F234" s="50"/>
      <c r="G234" s="51"/>
      <c r="H234" s="45"/>
      <c r="I234" s="52"/>
      <c r="J234" s="45"/>
      <c r="K234" s="45"/>
      <c r="L234" s="45"/>
      <c r="M234" s="52"/>
      <c r="N234" s="45"/>
      <c r="O234" s="45"/>
      <c r="P234" s="45"/>
      <c r="Q234" s="45"/>
      <c r="R234" s="50"/>
      <c r="S234" s="45"/>
      <c r="T234" s="51"/>
      <c r="U234" s="53"/>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row>
    <row r="235" spans="1:54" ht="12.75" customHeight="1">
      <c r="A235" s="50"/>
      <c r="B235" s="50"/>
      <c r="C235" s="51"/>
      <c r="D235" s="45"/>
      <c r="E235" s="50"/>
      <c r="F235" s="50"/>
      <c r="G235" s="51"/>
      <c r="H235" s="45"/>
      <c r="I235" s="52"/>
      <c r="J235" s="45"/>
      <c r="K235" s="45"/>
      <c r="L235" s="45"/>
      <c r="M235" s="52"/>
      <c r="N235" s="45"/>
      <c r="O235" s="45"/>
      <c r="P235" s="45"/>
      <c r="Q235" s="45"/>
      <c r="R235" s="50"/>
      <c r="S235" s="45"/>
      <c r="T235" s="51"/>
      <c r="U235" s="53"/>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row>
    <row r="236" spans="1:54" ht="12.75" customHeight="1">
      <c r="A236" s="50"/>
      <c r="B236" s="50"/>
      <c r="C236" s="51"/>
      <c r="D236" s="45"/>
      <c r="E236" s="50"/>
      <c r="F236" s="50"/>
      <c r="G236" s="51"/>
      <c r="H236" s="45"/>
      <c r="I236" s="52"/>
      <c r="J236" s="45"/>
      <c r="K236" s="45"/>
      <c r="L236" s="45"/>
      <c r="M236" s="52"/>
      <c r="N236" s="45"/>
      <c r="O236" s="45"/>
      <c r="P236" s="45"/>
      <c r="Q236" s="45"/>
      <c r="R236" s="50"/>
      <c r="S236" s="45"/>
      <c r="T236" s="51"/>
      <c r="U236" s="53"/>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row>
    <row r="237" spans="1:54"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row>
    <row r="238" spans="1:54"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row>
    <row r="239" spans="1:54" ht="15.75" customHeight="1"/>
    <row r="240" spans="1:5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BB38">
    <filterColumn colId="1">
      <filters>
        <filter val="Gestión Jurídica"/>
      </filters>
    </filterColumn>
  </autoFilter>
  <mergeCells count="19">
    <mergeCell ref="R5:AA5"/>
    <mergeCell ref="V6:AA6"/>
    <mergeCell ref="AJ6:AM6"/>
    <mergeCell ref="AN6:AP6"/>
    <mergeCell ref="D3:AK3"/>
    <mergeCell ref="AL3:AN3"/>
    <mergeCell ref="A5:J5"/>
    <mergeCell ref="K5:Q5"/>
    <mergeCell ref="AB5:AG5"/>
    <mergeCell ref="AH5:AI6"/>
    <mergeCell ref="AJ5:AP5"/>
    <mergeCell ref="A1:C3"/>
    <mergeCell ref="D1:AK1"/>
    <mergeCell ref="AL1:AN1"/>
    <mergeCell ref="AO1:AP1"/>
    <mergeCell ref="D2:AK2"/>
    <mergeCell ref="AL2:AN2"/>
    <mergeCell ref="AO2:AP2"/>
    <mergeCell ref="AO3:AP3"/>
  </mergeCells>
  <conditionalFormatting sqref="N8:N13 N15:N38">
    <cfRule type="containsText" dxfId="17" priority="1" operator="containsText" text="❌">
      <formula>NOT(ISERROR(SEARCH(("❌"),(N8))))</formula>
    </cfRule>
  </conditionalFormatting>
  <conditionalFormatting sqref="K8:K38 AC8:AC37">
    <cfRule type="cellIs" dxfId="16" priority="2" operator="equal">
      <formula>"Muy Alta"</formula>
    </cfRule>
  </conditionalFormatting>
  <conditionalFormatting sqref="K8:K38 AC8:AC37">
    <cfRule type="cellIs" dxfId="15" priority="3" operator="equal">
      <formula>"Alta"</formula>
    </cfRule>
  </conditionalFormatting>
  <conditionalFormatting sqref="K8:K38 AC8:AC37">
    <cfRule type="cellIs" dxfId="14" priority="4" operator="equal">
      <formula>"Media"</formula>
    </cfRule>
  </conditionalFormatting>
  <conditionalFormatting sqref="K8:K38 AC8:AC37">
    <cfRule type="cellIs" dxfId="13" priority="5" operator="equal">
      <formula>"Baja"</formula>
    </cfRule>
  </conditionalFormatting>
  <conditionalFormatting sqref="K8:K38 AC8:AC37">
    <cfRule type="cellIs" dxfId="12" priority="6" operator="equal">
      <formula>"Muy Baja"</formula>
    </cfRule>
  </conditionalFormatting>
  <conditionalFormatting sqref="O8:O38 AE8:AE37">
    <cfRule type="cellIs" dxfId="11" priority="7" operator="equal">
      <formula>"Catastrófico"</formula>
    </cfRule>
  </conditionalFormatting>
  <conditionalFormatting sqref="O8:O38 AE8:AE37">
    <cfRule type="cellIs" dxfId="10" priority="8" operator="equal">
      <formula>"Mayor"</formula>
    </cfRule>
  </conditionalFormatting>
  <conditionalFormatting sqref="O8:O38 AE8:AE37">
    <cfRule type="cellIs" dxfId="9" priority="9" operator="equal">
      <formula>"Moderado"</formula>
    </cfRule>
  </conditionalFormatting>
  <conditionalFormatting sqref="O8:O38 AE8:AE37">
    <cfRule type="cellIs" dxfId="8" priority="10" operator="equal">
      <formula>"Menor"</formula>
    </cfRule>
  </conditionalFormatting>
  <conditionalFormatting sqref="O8:O38 AE8:AE37">
    <cfRule type="cellIs" dxfId="7" priority="11" operator="equal">
      <formula>"Leve"</formula>
    </cfRule>
  </conditionalFormatting>
  <conditionalFormatting sqref="Q8:Q38 AG8:AG37">
    <cfRule type="cellIs" dxfId="6" priority="12" operator="equal">
      <formula>"Extremo"</formula>
    </cfRule>
  </conditionalFormatting>
  <conditionalFormatting sqref="Q8:Q38 AG8:AG37">
    <cfRule type="cellIs" dxfId="5" priority="13" operator="equal">
      <formula>"Alto"</formula>
    </cfRule>
  </conditionalFormatting>
  <conditionalFormatting sqref="Q8:Q38 AG8:AG37">
    <cfRule type="cellIs" dxfId="4" priority="14" operator="equal">
      <formula>"Moderado"</formula>
    </cfRule>
  </conditionalFormatting>
  <conditionalFormatting sqref="Q8:Q38 AG8:AG37">
    <cfRule type="cellIs" dxfId="3" priority="15" operator="equal">
      <formula>"Bajo"</formula>
    </cfRule>
  </conditionalFormatting>
  <conditionalFormatting sqref="AJ8:AJ13 AJ15:AJ33">
    <cfRule type="containsText" dxfId="2" priority="16" operator="containsText" text="NO">
      <formula>NOT(ISERROR(SEARCH(("NO"),(AJ8))))</formula>
    </cfRule>
  </conditionalFormatting>
  <conditionalFormatting sqref="AJ8:AJ13 AJ15:AJ33">
    <cfRule type="containsText" dxfId="1" priority="17" operator="containsText" text="SI">
      <formula>NOT(ISERROR(SEARCH(("SI"),(AJ8))))</formula>
    </cfRule>
  </conditionalFormatting>
  <conditionalFormatting sqref="AJ8:AJ13 AJ15:AJ33">
    <cfRule type="containsText" dxfId="0" priority="18" operator="containsText" text="NO">
      <formula>NOT(ISERROR(SEARCH(("NO"),(AJ8))))</formula>
    </cfRule>
  </conditionalFormatting>
  <dataValidations count="2">
    <dataValidation type="date" allowBlank="1" showErrorMessage="1" sqref="AL8 AL10:AL13 AO21 AL15:AL33">
      <formula1>44927</formula1>
      <formula2>45056</formula2>
    </dataValidation>
    <dataValidation type="date" allowBlank="1" showErrorMessage="1" sqref="AL9 AO8:AO13 AO15:AO20 AO22:AO33">
      <formula1>44927</formula1>
      <formula2>45066</formula2>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5">
        <x14:dataValidation type="list" allowBlank="1" showErrorMessage="1">
          <x14:formula1>
            <xm:f>'Anexo 5 Tabla Valor controles'!$D$11:$D$12</xm:f>
          </x14:formula1>
          <xm:sqref>Z8:Z37</xm:sqref>
        </x14:dataValidation>
        <x14:dataValidation type="list" allowBlank="1" showErrorMessage="1">
          <x14:formula1>
            <xm:f>Listas!$K$2:$K$3</xm:f>
          </x14:formula1>
          <xm:sqref>AP8:AP13 AP15:AP33</xm:sqref>
        </x14:dataValidation>
        <x14:dataValidation type="list" allowBlank="1" showErrorMessage="1">
          <x14:formula1>
            <xm:f>Listas!$F$2:$F$4</xm:f>
          </x14:formula1>
          <xm:sqref>H8:H37</xm:sqref>
        </x14:dataValidation>
        <x14:dataValidation type="list" allowBlank="1" showErrorMessage="1">
          <x14:formula1>
            <xm:f>'Anexo 5 Tabla Valor controles'!$D$9:$D$10</xm:f>
          </x14:formula1>
          <xm:sqref>Y8:Y37</xm:sqref>
        </x14:dataValidation>
        <x14:dataValidation type="list" allowBlank="1" showErrorMessage="1">
          <x14:formula1>
            <xm:f>Listas!$K$2:$K$4</xm:f>
          </x14:formula1>
          <xm:sqref>AJ8:AJ13 AJ15:AJ33</xm:sqref>
        </x14:dataValidation>
        <x14:dataValidation type="list" allowBlank="1" showErrorMessage="1">
          <x14:formula1>
            <xm:f>Listas!$M$2:$M$5</xm:f>
          </x14:formula1>
          <xm:sqref>AN8:AN13 AN15:AN33 AN35</xm:sqref>
        </x14:dataValidation>
        <x14:dataValidation type="list" allowBlank="1" showErrorMessage="1">
          <x14:formula1>
            <xm:f>'Anexo 5 Tabla Valor controles'!$D$7:$D$8</xm:f>
          </x14:formula1>
          <xm:sqref>W8:W37</xm:sqref>
        </x14:dataValidation>
        <x14:dataValidation type="list" allowBlank="1" showErrorMessage="1">
          <x14:formula1>
            <xm:f>'Anexo 3 Tabla Impacto'!$F$210:$F$221</xm:f>
          </x14:formula1>
          <xm:sqref>M8:M13 M14:N14 M15:M37</xm:sqref>
        </x14:dataValidation>
        <x14:dataValidation type="list" allowBlank="1" showErrorMessage="1">
          <x14:formula1>
            <xm:f>'Anexo 5 Tabla Valor controles'!$D$4:$D$6</xm:f>
          </x14:formula1>
          <xm:sqref>V8:V37</xm:sqref>
        </x14:dataValidation>
        <x14:dataValidation type="list" allowBlank="1" showErrorMessage="1">
          <x14:formula1>
            <xm:f>Listas!$L$2:$L$5</xm:f>
          </x14:formula1>
          <xm:sqref>AK8:AK13 AK15:AK33</xm:sqref>
        </x14:dataValidation>
        <x14:dataValidation type="list" allowBlank="1" showErrorMessage="1">
          <x14:formula1>
            <xm:f>Listas!$I$2:$I$8</xm:f>
          </x14:formula1>
          <xm:sqref>I8:I37</xm:sqref>
        </x14:dataValidation>
        <x14:dataValidation type="list" allowBlank="1" showErrorMessage="1">
          <x14:formula1>
            <xm:f>Listas!$C$2:$C$5</xm:f>
          </x14:formula1>
          <xm:sqref>AH8:AH37</xm:sqref>
        </x14:dataValidation>
        <x14:dataValidation type="list" allowBlank="1" showErrorMessage="1">
          <x14:formula1>
            <xm:f>'Anexo 5 Tabla Valor controles'!$D$13:$D$14</xm:f>
          </x14:formula1>
          <xm:sqref>AA8:AA37</xm:sqref>
        </x14:dataValidation>
        <x14:dataValidation type="list" allowBlank="1" showErrorMessage="1">
          <x14:formula1>
            <xm:f>Listas!$G$2:$G$3</xm:f>
          </x14:formula1>
          <xm:sqref>E8:E37</xm:sqref>
        </x14:dataValidation>
        <x14:dataValidation type="list" allowBlank="1" showErrorMessage="1">
          <x14:formula1>
            <xm:f>Listas!$A$2:$A$17</xm:f>
          </x14:formula1>
          <xm:sqref>B8:B37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92" t="s">
        <v>375</v>
      </c>
      <c r="B1" s="93"/>
      <c r="C1" s="92" t="s">
        <v>376</v>
      </c>
      <c r="D1" s="93"/>
      <c r="E1" s="92" t="s">
        <v>377</v>
      </c>
      <c r="F1" s="93"/>
      <c r="G1" s="94" t="s">
        <v>378</v>
      </c>
      <c r="H1" s="93"/>
      <c r="I1" s="95" t="s">
        <v>379</v>
      </c>
      <c r="J1" s="93"/>
      <c r="K1" s="93"/>
      <c r="L1" s="93"/>
      <c r="M1" s="93"/>
      <c r="N1" s="93"/>
      <c r="O1" s="93"/>
      <c r="P1" s="93"/>
      <c r="Q1" s="93"/>
      <c r="R1" s="93"/>
      <c r="S1" s="93"/>
      <c r="T1" s="93"/>
      <c r="U1" s="93"/>
      <c r="V1" s="93"/>
      <c r="W1" s="93"/>
      <c r="X1" s="93"/>
      <c r="Y1" s="93"/>
      <c r="Z1" s="93"/>
    </row>
    <row r="2" spans="1:26" ht="30">
      <c r="A2" s="96" t="s">
        <v>380</v>
      </c>
      <c r="B2" s="93"/>
      <c r="C2" s="93" t="s">
        <v>381</v>
      </c>
      <c r="D2" s="93"/>
      <c r="E2" s="93" t="s">
        <v>382</v>
      </c>
      <c r="F2" s="93"/>
      <c r="G2" s="93" t="s">
        <v>383</v>
      </c>
      <c r="H2" s="93"/>
      <c r="I2" s="93" t="s">
        <v>384</v>
      </c>
      <c r="J2" s="93"/>
      <c r="K2" s="93"/>
      <c r="L2" s="93"/>
      <c r="M2" s="93"/>
      <c r="N2" s="93"/>
      <c r="O2" s="93"/>
      <c r="P2" s="93"/>
      <c r="Q2" s="93"/>
      <c r="R2" s="93"/>
      <c r="S2" s="93"/>
      <c r="T2" s="93"/>
      <c r="U2" s="93"/>
      <c r="V2" s="93"/>
      <c r="W2" s="93"/>
      <c r="X2" s="93"/>
      <c r="Y2" s="93"/>
      <c r="Z2" s="93"/>
    </row>
    <row r="3" spans="1:26" ht="30">
      <c r="A3" s="96" t="s">
        <v>385</v>
      </c>
      <c r="B3" s="93"/>
      <c r="C3" s="93" t="s">
        <v>386</v>
      </c>
      <c r="D3" s="93"/>
      <c r="E3" s="93" t="s">
        <v>387</v>
      </c>
      <c r="F3" s="93"/>
      <c r="G3" s="93" t="s">
        <v>388</v>
      </c>
      <c r="H3" s="93"/>
      <c r="I3" s="93" t="s">
        <v>389</v>
      </c>
      <c r="J3" s="93"/>
      <c r="K3" s="93"/>
      <c r="L3" s="93"/>
      <c r="M3" s="93"/>
      <c r="N3" s="93"/>
      <c r="O3" s="93"/>
      <c r="P3" s="93"/>
      <c r="Q3" s="93"/>
      <c r="R3" s="93"/>
      <c r="S3" s="93"/>
      <c r="T3" s="93"/>
      <c r="U3" s="93"/>
      <c r="V3" s="93"/>
      <c r="W3" s="93"/>
      <c r="X3" s="93"/>
      <c r="Y3" s="93"/>
      <c r="Z3" s="93"/>
    </row>
    <row r="4" spans="1:26" ht="30">
      <c r="A4" s="96" t="s">
        <v>390</v>
      </c>
      <c r="B4" s="93"/>
      <c r="C4" s="93" t="s">
        <v>391</v>
      </c>
      <c r="D4" s="93"/>
      <c r="E4" s="93" t="s">
        <v>392</v>
      </c>
      <c r="F4" s="93"/>
      <c r="G4" s="93" t="s">
        <v>393</v>
      </c>
      <c r="H4" s="93"/>
      <c r="I4" s="93" t="s">
        <v>394</v>
      </c>
      <c r="J4" s="93"/>
      <c r="K4" s="93"/>
      <c r="L4" s="93"/>
      <c r="M4" s="93"/>
      <c r="N4" s="93"/>
      <c r="O4" s="93"/>
      <c r="P4" s="93"/>
      <c r="Q4" s="93"/>
      <c r="R4" s="93"/>
      <c r="S4" s="93"/>
      <c r="T4" s="93"/>
      <c r="U4" s="93"/>
      <c r="V4" s="93"/>
      <c r="W4" s="93"/>
      <c r="X4" s="93"/>
      <c r="Y4" s="93"/>
      <c r="Z4" s="93"/>
    </row>
    <row r="5" spans="1:26">
      <c r="A5" s="96" t="s">
        <v>395</v>
      </c>
      <c r="B5" s="93"/>
      <c r="C5" s="93" t="s">
        <v>396</v>
      </c>
      <c r="D5" s="93"/>
      <c r="E5" s="93" t="s">
        <v>397</v>
      </c>
      <c r="F5" s="93"/>
      <c r="G5" s="93" t="s">
        <v>398</v>
      </c>
      <c r="H5" s="93"/>
      <c r="I5" s="93"/>
      <c r="J5" s="93"/>
      <c r="K5" s="93"/>
      <c r="L5" s="93"/>
      <c r="M5" s="93"/>
      <c r="N5" s="93"/>
      <c r="O5" s="93"/>
      <c r="P5" s="93"/>
      <c r="Q5" s="93"/>
      <c r="R5" s="93"/>
      <c r="S5" s="93"/>
      <c r="T5" s="93"/>
      <c r="U5" s="93"/>
      <c r="V5" s="93"/>
      <c r="W5" s="93"/>
      <c r="X5" s="93"/>
      <c r="Y5" s="93"/>
      <c r="Z5" s="93"/>
    </row>
    <row r="6" spans="1:26" ht="45">
      <c r="A6" s="96" t="s">
        <v>399</v>
      </c>
      <c r="B6" s="93"/>
      <c r="C6" s="93" t="s">
        <v>400</v>
      </c>
      <c r="D6" s="93"/>
      <c r="E6" s="93" t="s">
        <v>401</v>
      </c>
      <c r="F6" s="93"/>
      <c r="G6" s="93" t="s">
        <v>402</v>
      </c>
      <c r="H6" s="93"/>
      <c r="I6" s="93"/>
      <c r="J6" s="93"/>
      <c r="K6" s="93"/>
      <c r="L6" s="93"/>
      <c r="M6" s="93"/>
      <c r="N6" s="93"/>
      <c r="O6" s="93"/>
      <c r="P6" s="93"/>
      <c r="Q6" s="93"/>
      <c r="R6" s="93"/>
      <c r="S6" s="93"/>
      <c r="T6" s="93"/>
      <c r="U6" s="93"/>
      <c r="V6" s="93"/>
      <c r="W6" s="93"/>
      <c r="X6" s="93"/>
      <c r="Y6" s="93"/>
      <c r="Z6" s="93"/>
    </row>
    <row r="7" spans="1:26">
      <c r="A7" s="96" t="s">
        <v>403</v>
      </c>
      <c r="B7" s="93"/>
      <c r="C7" s="93" t="s">
        <v>404</v>
      </c>
      <c r="D7" s="93"/>
      <c r="E7" s="93" t="s">
        <v>405</v>
      </c>
      <c r="F7" s="93"/>
      <c r="G7" s="93" t="s">
        <v>406</v>
      </c>
      <c r="H7" s="93"/>
      <c r="I7" s="93"/>
      <c r="J7" s="93"/>
      <c r="K7" s="93"/>
      <c r="L7" s="93"/>
      <c r="M7" s="93"/>
      <c r="N7" s="93"/>
      <c r="O7" s="93"/>
      <c r="P7" s="93"/>
      <c r="Q7" s="93"/>
      <c r="R7" s="93"/>
      <c r="S7" s="93"/>
      <c r="T7" s="93"/>
      <c r="U7" s="93"/>
      <c r="V7" s="93"/>
      <c r="W7" s="93"/>
      <c r="X7" s="93"/>
      <c r="Y7" s="93"/>
      <c r="Z7" s="93"/>
    </row>
    <row r="8" spans="1:26">
      <c r="A8" s="96" t="s">
        <v>407</v>
      </c>
      <c r="B8" s="93"/>
      <c r="C8" s="93"/>
      <c r="D8" s="93"/>
      <c r="E8" s="93" t="s">
        <v>408</v>
      </c>
      <c r="F8" s="93"/>
      <c r="G8" s="93"/>
      <c r="H8" s="93"/>
      <c r="I8" s="93"/>
      <c r="J8" s="93"/>
      <c r="K8" s="93"/>
      <c r="L8" s="93"/>
      <c r="M8" s="93"/>
      <c r="N8" s="93"/>
      <c r="O8" s="93"/>
      <c r="P8" s="93"/>
      <c r="Q8" s="93"/>
      <c r="R8" s="93"/>
      <c r="S8" s="93"/>
      <c r="T8" s="93"/>
      <c r="U8" s="93"/>
      <c r="V8" s="93"/>
      <c r="W8" s="93"/>
      <c r="X8" s="93"/>
      <c r="Y8" s="93"/>
      <c r="Z8" s="93"/>
    </row>
    <row r="9" spans="1:26">
      <c r="A9" s="96" t="s">
        <v>409</v>
      </c>
      <c r="B9" s="93"/>
      <c r="C9" s="93"/>
      <c r="D9" s="93"/>
      <c r="E9" s="93" t="s">
        <v>410</v>
      </c>
      <c r="F9" s="93"/>
      <c r="G9" s="93"/>
      <c r="H9" s="93"/>
      <c r="I9" s="93"/>
      <c r="J9" s="93"/>
      <c r="K9" s="93"/>
      <c r="L9" s="93"/>
      <c r="M9" s="93"/>
      <c r="N9" s="93"/>
      <c r="O9" s="93"/>
      <c r="P9" s="93"/>
      <c r="Q9" s="93"/>
      <c r="R9" s="93"/>
      <c r="S9" s="93"/>
      <c r="T9" s="93"/>
      <c r="U9" s="93"/>
      <c r="V9" s="93"/>
      <c r="W9" s="93"/>
      <c r="X9" s="93"/>
      <c r="Y9" s="93"/>
      <c r="Z9" s="93"/>
    </row>
    <row r="10" spans="1:26" ht="30">
      <c r="A10" s="96" t="s">
        <v>411</v>
      </c>
      <c r="B10" s="93"/>
      <c r="C10" s="93"/>
      <c r="D10" s="93"/>
      <c r="E10" s="93" t="s">
        <v>412</v>
      </c>
      <c r="F10" s="93"/>
      <c r="G10" s="93"/>
      <c r="H10" s="93"/>
      <c r="I10" s="93"/>
      <c r="J10" s="93"/>
      <c r="K10" s="93"/>
      <c r="L10" s="93"/>
      <c r="M10" s="93"/>
      <c r="N10" s="93"/>
      <c r="O10" s="93"/>
      <c r="P10" s="93"/>
      <c r="Q10" s="93"/>
      <c r="R10" s="93"/>
      <c r="S10" s="93"/>
      <c r="T10" s="93"/>
      <c r="U10" s="93"/>
      <c r="V10" s="93"/>
      <c r="W10" s="93"/>
      <c r="X10" s="93"/>
      <c r="Y10" s="93"/>
      <c r="Z10" s="93"/>
    </row>
    <row r="11" spans="1:26" ht="30">
      <c r="A11" s="96" t="s">
        <v>413</v>
      </c>
      <c r="B11" s="93"/>
      <c r="C11" s="93"/>
      <c r="D11" s="93"/>
      <c r="E11" s="93" t="s">
        <v>414</v>
      </c>
      <c r="F11" s="93"/>
      <c r="G11" s="93"/>
      <c r="H11" s="93"/>
      <c r="I11" s="93"/>
      <c r="J11" s="93"/>
      <c r="K11" s="93"/>
      <c r="L11" s="93"/>
      <c r="M11" s="93"/>
      <c r="N11" s="93"/>
      <c r="O11" s="93"/>
      <c r="P11" s="93"/>
      <c r="Q11" s="93"/>
      <c r="R11" s="93"/>
      <c r="S11" s="93"/>
      <c r="T11" s="93"/>
      <c r="U11" s="93"/>
      <c r="V11" s="93"/>
      <c r="W11" s="93"/>
      <c r="X11" s="93"/>
      <c r="Y11" s="93"/>
      <c r="Z11" s="93"/>
    </row>
    <row r="12" spans="1:26">
      <c r="A12" s="96" t="s">
        <v>415</v>
      </c>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30">
      <c r="A13" s="96" t="s">
        <v>416</v>
      </c>
      <c r="B13" s="93"/>
      <c r="C13" s="93"/>
      <c r="D13" s="93"/>
      <c r="E13" s="93"/>
      <c r="F13" s="93"/>
      <c r="G13" s="93"/>
      <c r="H13" s="93"/>
      <c r="I13" s="93"/>
      <c r="J13" s="93"/>
      <c r="K13" s="93"/>
      <c r="L13" s="93"/>
      <c r="M13" s="93"/>
      <c r="N13" s="93"/>
      <c r="O13" s="93"/>
      <c r="P13" s="93"/>
      <c r="Q13" s="93"/>
      <c r="R13" s="93"/>
      <c r="S13" s="93"/>
      <c r="T13" s="93"/>
      <c r="U13" s="93"/>
      <c r="V13" s="93"/>
      <c r="W13" s="93"/>
      <c r="X13" s="93"/>
      <c r="Y13" s="93"/>
      <c r="Z13" s="93"/>
    </row>
    <row r="14" spans="1:26" ht="30">
      <c r="A14" s="96" t="s">
        <v>417</v>
      </c>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26">
      <c r="A15" s="96" t="s">
        <v>418</v>
      </c>
      <c r="B15" s="93"/>
      <c r="C15" s="93"/>
      <c r="D15" s="93"/>
      <c r="E15" s="93"/>
      <c r="F15" s="93"/>
      <c r="G15" s="93"/>
      <c r="H15" s="93"/>
      <c r="I15" s="93"/>
      <c r="J15" s="93"/>
      <c r="K15" s="93"/>
      <c r="L15" s="93"/>
      <c r="M15" s="93"/>
      <c r="N15" s="93"/>
      <c r="O15" s="93"/>
      <c r="P15" s="93"/>
      <c r="Q15" s="93"/>
      <c r="R15" s="93"/>
      <c r="S15" s="93"/>
      <c r="T15" s="93"/>
      <c r="U15" s="93"/>
      <c r="V15" s="93"/>
      <c r="W15" s="93"/>
      <c r="X15" s="93"/>
      <c r="Y15" s="93"/>
      <c r="Z15" s="93"/>
    </row>
    <row r="16" spans="1:26">
      <c r="A16" s="96" t="s">
        <v>419</v>
      </c>
      <c r="B16" s="93"/>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1:26">
      <c r="A17" s="96" t="s">
        <v>420</v>
      </c>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row>
    <row r="21" spans="1:26" ht="15.7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row>
    <row r="22" spans="1:26" ht="15.75" customHeight="1">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ht="15.7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row>
    <row r="24" spans="1:26" ht="15.75" customHeight="1">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row>
    <row r="25" spans="1:26" ht="15.7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ht="15.75"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ht="15.75"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15.7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15.7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15.75" customHeight="1">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5.75"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5.75" customHeight="1">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5.7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5.75" customHeight="1">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5.75" customHeight="1">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5.75" customHeight="1">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5.7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5.7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5.75" customHeight="1">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5.7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5.7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5.75" customHeight="1">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5.7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5.7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5.75" customHeight="1">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5.7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5.75" customHeight="1">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5.75" customHeight="1">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5.7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5.7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5.7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5.75"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5.75" customHeight="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5.75" customHeight="1">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5.7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5.7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5.7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5.7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5.7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5.75"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5.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5.7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5.75" customHeight="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5.7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5.7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5.75" customHeight="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5.7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5.7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5.75"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5.75" customHeight="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5.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5.75" customHeight="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5.75"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5.75" customHeight="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5.75" customHeigh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5.7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5.75" customHeight="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5.75" customHeight="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5.75" customHeight="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5.7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5.75" customHeight="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5.75" customHeight="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5.75" customHeight="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5.7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5.75"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5.75" customHeight="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5.75" customHeigh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5.75" customHeight="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5.75" customHeight="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5.75" customHeight="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5.75" customHeight="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5.75" customHeight="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5.75" customHeight="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5.75"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5.75" customHeight="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5.75" customHeight="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5.75" customHeight="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5.75" customHeight="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5.75" customHeight="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5.75" customHeight="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5.75" customHeight="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5.75" customHeight="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5.75"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5.75" customHeight="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5.75" customHeight="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5.75" customHeight="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5.7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5.75" customHeight="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5.75" customHeight="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5.7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5.7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5.75" customHeight="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5.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5.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5.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5.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5.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5.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5.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5.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5.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5.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5.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5.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5.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5.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5.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5.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5.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5.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5.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5.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5.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5.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5.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5.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5.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5.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5.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5.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5.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5.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5.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5.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5.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5.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5.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5.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5.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5.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5.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5.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5.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5.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5.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5.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5.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5.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5.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5.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5.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5.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5.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5.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5.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5.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5.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5.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5.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5.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5.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5.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5.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5.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5.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5.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5.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5.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5.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5.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5.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5.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5.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5.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5.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5.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5.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5.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5.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5.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5.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5.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5.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5.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5.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5.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5.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5.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5.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5.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5.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5.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5.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5.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s>
  <sheetData>
    <row r="1" spans="1:13" ht="25.5">
      <c r="A1" s="97" t="s">
        <v>421</v>
      </c>
      <c r="B1" s="98"/>
      <c r="C1" s="99" t="s">
        <v>46</v>
      </c>
      <c r="D1" s="100" t="s">
        <v>422</v>
      </c>
      <c r="F1" s="97" t="s">
        <v>423</v>
      </c>
      <c r="G1" s="97" t="s">
        <v>424</v>
      </c>
      <c r="I1" s="97" t="s">
        <v>425</v>
      </c>
      <c r="K1" s="101" t="s">
        <v>426</v>
      </c>
      <c r="L1" s="101" t="s">
        <v>427</v>
      </c>
      <c r="M1" s="101" t="s">
        <v>428</v>
      </c>
    </row>
    <row r="2" spans="1:13">
      <c r="A2" s="102" t="s">
        <v>54</v>
      </c>
      <c r="B2" s="103"/>
      <c r="C2" s="104" t="s">
        <v>178</v>
      </c>
      <c r="D2" s="48" t="s">
        <v>429</v>
      </c>
      <c r="F2" s="104" t="s">
        <v>186</v>
      </c>
      <c r="G2" s="105" t="s">
        <v>84</v>
      </c>
      <c r="I2" s="105" t="s">
        <v>365</v>
      </c>
      <c r="K2" s="48" t="s">
        <v>430</v>
      </c>
      <c r="L2" s="48" t="s">
        <v>431</v>
      </c>
      <c r="M2" s="48" t="s">
        <v>432</v>
      </c>
    </row>
    <row r="3" spans="1:13">
      <c r="A3" s="102" t="s">
        <v>72</v>
      </c>
      <c r="B3" s="103"/>
      <c r="C3" s="104" t="s">
        <v>70</v>
      </c>
      <c r="D3" s="48" t="s">
        <v>433</v>
      </c>
      <c r="F3" s="104" t="s">
        <v>60</v>
      </c>
      <c r="G3" s="105" t="s">
        <v>57</v>
      </c>
      <c r="I3" s="105" t="s">
        <v>176</v>
      </c>
      <c r="K3" s="48" t="s">
        <v>434</v>
      </c>
      <c r="L3" s="48" t="s">
        <v>435</v>
      </c>
      <c r="M3" s="48" t="s">
        <v>436</v>
      </c>
    </row>
    <row r="4" spans="1:13">
      <c r="A4" s="102" t="s">
        <v>81</v>
      </c>
      <c r="B4" s="103"/>
      <c r="C4" s="104" t="s">
        <v>368</v>
      </c>
      <c r="F4" s="104" t="s">
        <v>437</v>
      </c>
      <c r="I4" s="105" t="s">
        <v>280</v>
      </c>
      <c r="L4" s="48" t="s">
        <v>438</v>
      </c>
      <c r="M4" s="48" t="s">
        <v>439</v>
      </c>
    </row>
    <row r="5" spans="1:13">
      <c r="A5" s="102" t="s">
        <v>89</v>
      </c>
      <c r="B5" s="103"/>
      <c r="C5" s="104" t="s">
        <v>440</v>
      </c>
      <c r="I5" s="105" t="s">
        <v>441</v>
      </c>
      <c r="L5" s="48" t="s">
        <v>442</v>
      </c>
      <c r="M5" s="48" t="s">
        <v>443</v>
      </c>
    </row>
    <row r="6" spans="1:13" ht="24">
      <c r="A6" s="102" t="s">
        <v>171</v>
      </c>
      <c r="B6" s="103"/>
      <c r="I6" s="105" t="s">
        <v>61</v>
      </c>
    </row>
    <row r="7" spans="1:13">
      <c r="A7" s="102" t="s">
        <v>152</v>
      </c>
      <c r="B7" s="103"/>
      <c r="I7" s="105" t="s">
        <v>444</v>
      </c>
    </row>
    <row r="8" spans="1:13">
      <c r="A8" s="102" t="s">
        <v>138</v>
      </c>
      <c r="B8" s="103"/>
      <c r="I8" s="105" t="s">
        <v>355</v>
      </c>
    </row>
    <row r="9" spans="1:13">
      <c r="A9" s="102" t="s">
        <v>119</v>
      </c>
      <c r="B9" s="103"/>
    </row>
    <row r="10" spans="1:13">
      <c r="A10" s="102" t="s">
        <v>158</v>
      </c>
      <c r="B10" s="103"/>
    </row>
    <row r="11" spans="1:13">
      <c r="A11" s="102" t="s">
        <v>132</v>
      </c>
      <c r="B11" s="103"/>
    </row>
    <row r="12" spans="1:13">
      <c r="A12" s="102" t="s">
        <v>97</v>
      </c>
      <c r="B12" s="103"/>
    </row>
    <row r="13" spans="1:13">
      <c r="A13" s="102" t="s">
        <v>145</v>
      </c>
      <c r="B13" s="103"/>
    </row>
    <row r="14" spans="1:13">
      <c r="A14" s="102" t="s">
        <v>126</v>
      </c>
      <c r="B14" s="103"/>
    </row>
    <row r="15" spans="1:13">
      <c r="A15" s="102" t="s">
        <v>104</v>
      </c>
      <c r="B15" s="103"/>
    </row>
    <row r="16" spans="1:13">
      <c r="A16" s="102" t="s">
        <v>198</v>
      </c>
      <c r="B16" s="103"/>
    </row>
    <row r="17" spans="1:2">
      <c r="A17" s="102" t="s">
        <v>111</v>
      </c>
      <c r="B17" s="103"/>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5" width="10.7109375" customWidth="1"/>
  </cols>
  <sheetData>
    <row r="1" spans="1:26" ht="14.25"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ht="14.25" customHeight="1">
      <c r="A2" s="106"/>
      <c r="B2" s="262" t="s">
        <v>445</v>
      </c>
      <c r="C2" s="231"/>
      <c r="D2" s="231"/>
      <c r="E2" s="231"/>
      <c r="F2" s="231"/>
      <c r="G2" s="231"/>
      <c r="H2" s="263"/>
      <c r="I2" s="106"/>
      <c r="J2" s="106"/>
      <c r="K2" s="106"/>
      <c r="L2" s="106"/>
      <c r="M2" s="106"/>
      <c r="N2" s="106"/>
      <c r="O2" s="106"/>
      <c r="P2" s="106"/>
      <c r="Q2" s="106"/>
      <c r="R2" s="106"/>
      <c r="S2" s="106"/>
      <c r="T2" s="106"/>
      <c r="U2" s="106"/>
      <c r="V2" s="106"/>
      <c r="W2" s="106"/>
      <c r="X2" s="106"/>
      <c r="Y2" s="106"/>
      <c r="Z2" s="106"/>
    </row>
    <row r="3" spans="1:26" ht="14.25" customHeight="1">
      <c r="A3" s="106"/>
      <c r="B3" s="107"/>
      <c r="C3" s="108"/>
      <c r="D3" s="108"/>
      <c r="E3" s="108"/>
      <c r="F3" s="108"/>
      <c r="G3" s="108"/>
      <c r="H3" s="109"/>
      <c r="I3" s="106"/>
      <c r="J3" s="106"/>
      <c r="K3" s="106"/>
      <c r="L3" s="106"/>
      <c r="M3" s="106"/>
      <c r="N3" s="106"/>
      <c r="O3" s="106"/>
      <c r="P3" s="106"/>
      <c r="Q3" s="106"/>
      <c r="R3" s="106"/>
      <c r="S3" s="106"/>
      <c r="T3" s="106"/>
      <c r="U3" s="106"/>
      <c r="V3" s="106"/>
      <c r="W3" s="106"/>
      <c r="X3" s="106"/>
      <c r="Y3" s="106"/>
      <c r="Z3" s="106"/>
    </row>
    <row r="4" spans="1:26" ht="73.5" customHeight="1">
      <c r="A4" s="106"/>
      <c r="B4" s="264" t="s">
        <v>446</v>
      </c>
      <c r="C4" s="224"/>
      <c r="D4" s="224"/>
      <c r="E4" s="224"/>
      <c r="F4" s="224"/>
      <c r="G4" s="224"/>
      <c r="H4" s="265"/>
      <c r="I4" s="106"/>
      <c r="J4" s="106"/>
      <c r="K4" s="106"/>
      <c r="L4" s="106"/>
      <c r="M4" s="106"/>
      <c r="N4" s="106"/>
      <c r="O4" s="106"/>
      <c r="P4" s="106"/>
      <c r="Q4" s="106"/>
      <c r="R4" s="106"/>
      <c r="S4" s="106"/>
      <c r="T4" s="106"/>
      <c r="U4" s="106"/>
      <c r="V4" s="106"/>
      <c r="W4" s="106"/>
      <c r="X4" s="106"/>
      <c r="Y4" s="106"/>
      <c r="Z4" s="106"/>
    </row>
    <row r="5" spans="1:26" ht="69" customHeight="1">
      <c r="A5" s="106"/>
      <c r="B5" s="266"/>
      <c r="C5" s="267"/>
      <c r="D5" s="267"/>
      <c r="E5" s="267"/>
      <c r="F5" s="267"/>
      <c r="G5" s="267"/>
      <c r="H5" s="268"/>
      <c r="I5" s="106"/>
      <c r="J5" s="106"/>
      <c r="K5" s="106"/>
      <c r="L5" s="106"/>
      <c r="M5" s="106"/>
      <c r="N5" s="106"/>
      <c r="O5" s="106"/>
      <c r="P5" s="106"/>
      <c r="Q5" s="106"/>
      <c r="R5" s="106"/>
      <c r="S5" s="106"/>
      <c r="T5" s="106"/>
      <c r="U5" s="106"/>
      <c r="V5" s="106"/>
      <c r="W5" s="106"/>
      <c r="X5" s="106"/>
      <c r="Y5" s="106"/>
      <c r="Z5" s="106"/>
    </row>
    <row r="6" spans="1:26" ht="14.25" customHeight="1">
      <c r="A6" s="106"/>
      <c r="B6" s="269" t="s">
        <v>447</v>
      </c>
      <c r="C6" s="270"/>
      <c r="D6" s="270"/>
      <c r="E6" s="270"/>
      <c r="F6" s="270"/>
      <c r="G6" s="270"/>
      <c r="H6" s="271"/>
      <c r="I6" s="106"/>
      <c r="J6" s="106"/>
      <c r="K6" s="106"/>
      <c r="L6" s="106"/>
      <c r="M6" s="106"/>
      <c r="N6" s="106"/>
      <c r="O6" s="106"/>
      <c r="P6" s="106"/>
      <c r="Q6" s="106"/>
      <c r="R6" s="106"/>
      <c r="S6" s="106"/>
      <c r="T6" s="106"/>
      <c r="U6" s="106"/>
      <c r="V6" s="106"/>
      <c r="W6" s="106"/>
      <c r="X6" s="106"/>
      <c r="Y6" s="106"/>
      <c r="Z6" s="106"/>
    </row>
    <row r="7" spans="1:26" ht="95.25" customHeight="1">
      <c r="A7" s="106"/>
      <c r="B7" s="272" t="s">
        <v>448</v>
      </c>
      <c r="C7" s="273"/>
      <c r="D7" s="273"/>
      <c r="E7" s="273"/>
      <c r="F7" s="273"/>
      <c r="G7" s="273"/>
      <c r="H7" s="274"/>
      <c r="I7" s="106"/>
      <c r="J7" s="106"/>
      <c r="K7" s="106"/>
      <c r="L7" s="106"/>
      <c r="M7" s="106"/>
      <c r="N7" s="106"/>
      <c r="O7" s="106"/>
      <c r="P7" s="106"/>
      <c r="Q7" s="106"/>
      <c r="R7" s="106"/>
      <c r="S7" s="106"/>
      <c r="T7" s="106"/>
      <c r="U7" s="106"/>
      <c r="V7" s="106"/>
      <c r="W7" s="106"/>
      <c r="X7" s="106"/>
      <c r="Y7" s="106"/>
      <c r="Z7" s="106"/>
    </row>
    <row r="8" spans="1:26" ht="14.25" customHeight="1">
      <c r="A8" s="106"/>
      <c r="B8" s="110"/>
      <c r="C8" s="111"/>
      <c r="D8" s="111"/>
      <c r="E8" s="111"/>
      <c r="F8" s="111"/>
      <c r="G8" s="111"/>
      <c r="H8" s="112"/>
      <c r="I8" s="106"/>
      <c r="J8" s="106"/>
      <c r="K8" s="106"/>
      <c r="L8" s="106"/>
      <c r="M8" s="106"/>
      <c r="N8" s="106"/>
      <c r="O8" s="106"/>
      <c r="P8" s="106"/>
      <c r="Q8" s="106"/>
      <c r="R8" s="106"/>
      <c r="S8" s="106"/>
      <c r="T8" s="106"/>
      <c r="U8" s="106"/>
      <c r="V8" s="106"/>
      <c r="W8" s="106"/>
      <c r="X8" s="106"/>
      <c r="Y8" s="106"/>
      <c r="Z8" s="106"/>
    </row>
    <row r="9" spans="1:26" ht="16.5" customHeight="1">
      <c r="A9" s="106"/>
      <c r="B9" s="275" t="s">
        <v>449</v>
      </c>
      <c r="C9" s="224"/>
      <c r="D9" s="224"/>
      <c r="E9" s="224"/>
      <c r="F9" s="224"/>
      <c r="G9" s="224"/>
      <c r="H9" s="265"/>
      <c r="I9" s="106"/>
      <c r="J9" s="106"/>
      <c r="K9" s="106"/>
      <c r="L9" s="106"/>
      <c r="M9" s="106"/>
      <c r="N9" s="106"/>
      <c r="O9" s="106"/>
      <c r="P9" s="106"/>
      <c r="Q9" s="106"/>
      <c r="R9" s="106"/>
      <c r="S9" s="106"/>
      <c r="T9" s="106"/>
      <c r="U9" s="106"/>
      <c r="V9" s="106"/>
      <c r="W9" s="106"/>
      <c r="X9" s="106"/>
      <c r="Y9" s="106"/>
      <c r="Z9" s="106"/>
    </row>
    <row r="10" spans="1:26" ht="44.25" customHeight="1">
      <c r="A10" s="106"/>
      <c r="B10" s="223"/>
      <c r="C10" s="224"/>
      <c r="D10" s="224"/>
      <c r="E10" s="224"/>
      <c r="F10" s="224"/>
      <c r="G10" s="224"/>
      <c r="H10" s="265"/>
      <c r="I10" s="106"/>
      <c r="J10" s="106"/>
      <c r="K10" s="106"/>
      <c r="L10" s="106"/>
      <c r="M10" s="106"/>
      <c r="N10" s="106"/>
      <c r="O10" s="106"/>
      <c r="P10" s="106"/>
      <c r="Q10" s="106"/>
      <c r="R10" s="106"/>
      <c r="S10" s="106"/>
      <c r="T10" s="106"/>
      <c r="U10" s="106"/>
      <c r="V10" s="106"/>
      <c r="W10" s="106"/>
      <c r="X10" s="106"/>
      <c r="Y10" s="106"/>
      <c r="Z10" s="106"/>
    </row>
    <row r="11" spans="1:26" ht="14.25" customHeight="1">
      <c r="A11" s="106"/>
      <c r="B11" s="113"/>
      <c r="C11" s="1"/>
      <c r="D11" s="114"/>
      <c r="E11" s="115"/>
      <c r="F11" s="115"/>
      <c r="G11" s="115"/>
      <c r="H11" s="116"/>
      <c r="I11" s="106"/>
      <c r="J11" s="106"/>
      <c r="K11" s="106"/>
      <c r="L11" s="106"/>
      <c r="M11" s="106"/>
      <c r="N11" s="106"/>
      <c r="O11" s="106"/>
      <c r="P11" s="106"/>
      <c r="Q11" s="106"/>
      <c r="R11" s="106"/>
      <c r="S11" s="106"/>
      <c r="T11" s="106"/>
      <c r="U11" s="106"/>
      <c r="V11" s="106"/>
      <c r="W11" s="106"/>
      <c r="X11" s="106"/>
      <c r="Y11" s="106"/>
      <c r="Z11" s="106"/>
    </row>
    <row r="12" spans="1:26" ht="14.25" customHeight="1">
      <c r="A12" s="106"/>
      <c r="B12" s="113"/>
      <c r="C12" s="276" t="s">
        <v>450</v>
      </c>
      <c r="D12" s="277"/>
      <c r="E12" s="278" t="s">
        <v>451</v>
      </c>
      <c r="F12" s="279"/>
      <c r="G12" s="1"/>
      <c r="H12" s="116"/>
      <c r="I12" s="106"/>
      <c r="J12" s="106"/>
      <c r="K12" s="106"/>
      <c r="L12" s="106"/>
      <c r="M12" s="106"/>
      <c r="N12" s="106"/>
      <c r="O12" s="106"/>
      <c r="P12" s="106"/>
      <c r="Q12" s="106"/>
      <c r="R12" s="106"/>
      <c r="S12" s="106"/>
      <c r="T12" s="106"/>
      <c r="U12" s="106"/>
      <c r="V12" s="106"/>
      <c r="W12" s="106"/>
      <c r="X12" s="106"/>
      <c r="Y12" s="106"/>
      <c r="Z12" s="106"/>
    </row>
    <row r="13" spans="1:26" ht="35.25" customHeight="1">
      <c r="A13" s="106"/>
      <c r="B13" s="113"/>
      <c r="C13" s="280" t="s">
        <v>14</v>
      </c>
      <c r="D13" s="281"/>
      <c r="E13" s="282" t="s">
        <v>452</v>
      </c>
      <c r="F13" s="283"/>
      <c r="G13" s="1"/>
      <c r="H13" s="116"/>
      <c r="I13" s="106"/>
      <c r="J13" s="106"/>
      <c r="K13" s="106"/>
      <c r="L13" s="106"/>
      <c r="M13" s="106"/>
      <c r="N13" s="106"/>
      <c r="O13" s="106"/>
      <c r="P13" s="106"/>
      <c r="Q13" s="106"/>
      <c r="R13" s="106"/>
      <c r="S13" s="106"/>
      <c r="T13" s="106"/>
      <c r="U13" s="106"/>
      <c r="V13" s="106"/>
      <c r="W13" s="106"/>
      <c r="X13" s="106"/>
      <c r="Y13" s="106"/>
      <c r="Z13" s="106"/>
    </row>
    <row r="14" spans="1:26" ht="17.25" customHeight="1">
      <c r="A14" s="106"/>
      <c r="B14" s="113"/>
      <c r="C14" s="280" t="s">
        <v>15</v>
      </c>
      <c r="D14" s="281"/>
      <c r="E14" s="282" t="s">
        <v>453</v>
      </c>
      <c r="F14" s="283"/>
      <c r="G14" s="1"/>
      <c r="H14" s="116"/>
      <c r="I14" s="106"/>
      <c r="J14" s="106"/>
      <c r="K14" s="106"/>
      <c r="L14" s="106"/>
      <c r="M14" s="106"/>
      <c r="N14" s="106"/>
      <c r="O14" s="106"/>
      <c r="P14" s="106"/>
      <c r="Q14" s="106"/>
      <c r="R14" s="106"/>
      <c r="S14" s="106"/>
      <c r="T14" s="106"/>
      <c r="U14" s="106"/>
      <c r="V14" s="106"/>
      <c r="W14" s="106"/>
      <c r="X14" s="106"/>
      <c r="Y14" s="106"/>
      <c r="Z14" s="106"/>
    </row>
    <row r="15" spans="1:26" ht="19.5" customHeight="1">
      <c r="A15" s="106"/>
      <c r="B15" s="113"/>
      <c r="C15" s="280" t="s">
        <v>454</v>
      </c>
      <c r="D15" s="281"/>
      <c r="E15" s="282" t="s">
        <v>455</v>
      </c>
      <c r="F15" s="283"/>
      <c r="G15" s="1"/>
      <c r="H15" s="116"/>
      <c r="I15" s="106"/>
      <c r="J15" s="106"/>
      <c r="K15" s="106"/>
      <c r="L15" s="106"/>
      <c r="M15" s="106"/>
      <c r="N15" s="106"/>
      <c r="O15" s="106"/>
      <c r="P15" s="106"/>
      <c r="Q15" s="106"/>
      <c r="R15" s="106"/>
      <c r="S15" s="106"/>
      <c r="T15" s="106"/>
      <c r="U15" s="106"/>
      <c r="V15" s="106"/>
      <c r="W15" s="106"/>
      <c r="X15" s="106"/>
      <c r="Y15" s="106"/>
      <c r="Z15" s="106"/>
    </row>
    <row r="16" spans="1:26" ht="69.75" customHeight="1">
      <c r="A16" s="106"/>
      <c r="B16" s="113"/>
      <c r="C16" s="280" t="s">
        <v>456</v>
      </c>
      <c r="D16" s="281"/>
      <c r="E16" s="282" t="s">
        <v>457</v>
      </c>
      <c r="F16" s="283"/>
      <c r="G16" s="1"/>
      <c r="H16" s="116"/>
      <c r="I16" s="106"/>
      <c r="J16" s="106"/>
      <c r="K16" s="106"/>
      <c r="L16" s="106"/>
      <c r="M16" s="106"/>
      <c r="N16" s="106"/>
      <c r="O16" s="106"/>
      <c r="P16" s="106"/>
      <c r="Q16" s="106"/>
      <c r="R16" s="106"/>
      <c r="S16" s="106"/>
      <c r="T16" s="106"/>
      <c r="U16" s="106"/>
      <c r="V16" s="106"/>
      <c r="W16" s="106"/>
      <c r="X16" s="106"/>
      <c r="Y16" s="106"/>
      <c r="Z16" s="106"/>
    </row>
    <row r="17" spans="1:26" ht="34.5" customHeight="1">
      <c r="A17" s="106"/>
      <c r="B17" s="113"/>
      <c r="C17" s="258" t="s">
        <v>17</v>
      </c>
      <c r="D17" s="259"/>
      <c r="E17" s="284" t="s">
        <v>458</v>
      </c>
      <c r="F17" s="285"/>
      <c r="G17" s="1"/>
      <c r="H17" s="116"/>
      <c r="I17" s="106"/>
      <c r="J17" s="106"/>
      <c r="K17" s="106"/>
      <c r="L17" s="106"/>
      <c r="M17" s="106"/>
      <c r="N17" s="106"/>
      <c r="O17" s="106"/>
      <c r="P17" s="106"/>
      <c r="Q17" s="106"/>
      <c r="R17" s="106"/>
      <c r="S17" s="106"/>
      <c r="T17" s="106"/>
      <c r="U17" s="106"/>
      <c r="V17" s="106"/>
      <c r="W17" s="106"/>
      <c r="X17" s="106"/>
      <c r="Y17" s="106"/>
      <c r="Z17" s="106"/>
    </row>
    <row r="18" spans="1:26" ht="27.75" customHeight="1">
      <c r="A18" s="106"/>
      <c r="B18" s="113"/>
      <c r="C18" s="258" t="s">
        <v>459</v>
      </c>
      <c r="D18" s="259"/>
      <c r="E18" s="284" t="s">
        <v>460</v>
      </c>
      <c r="F18" s="285"/>
      <c r="G18" s="1"/>
      <c r="H18" s="116"/>
      <c r="I18" s="106"/>
      <c r="J18" s="106"/>
      <c r="K18" s="106"/>
      <c r="L18" s="106"/>
      <c r="M18" s="106"/>
      <c r="N18" s="106"/>
      <c r="O18" s="106"/>
      <c r="P18" s="106"/>
      <c r="Q18" s="106"/>
      <c r="R18" s="106"/>
      <c r="S18" s="106"/>
      <c r="T18" s="106"/>
      <c r="U18" s="106"/>
      <c r="V18" s="106"/>
      <c r="W18" s="106"/>
      <c r="X18" s="106"/>
      <c r="Y18" s="106"/>
      <c r="Z18" s="106"/>
    </row>
    <row r="19" spans="1:26" ht="28.5" customHeight="1">
      <c r="A19" s="106"/>
      <c r="B19" s="113"/>
      <c r="C19" s="258" t="s">
        <v>19</v>
      </c>
      <c r="D19" s="259"/>
      <c r="E19" s="284" t="s">
        <v>461</v>
      </c>
      <c r="F19" s="285"/>
      <c r="G19" s="1"/>
      <c r="H19" s="116"/>
      <c r="I19" s="106"/>
      <c r="J19" s="106"/>
      <c r="K19" s="106"/>
      <c r="L19" s="106"/>
      <c r="M19" s="106"/>
      <c r="N19" s="106"/>
      <c r="O19" s="106"/>
      <c r="P19" s="106"/>
      <c r="Q19" s="106"/>
      <c r="R19" s="106"/>
      <c r="S19" s="106"/>
      <c r="T19" s="106"/>
      <c r="U19" s="106"/>
      <c r="V19" s="106"/>
      <c r="W19" s="106"/>
      <c r="X19" s="106"/>
      <c r="Y19" s="106"/>
      <c r="Z19" s="106"/>
    </row>
    <row r="20" spans="1:26" ht="72.75" customHeight="1">
      <c r="A20" s="106"/>
      <c r="B20" s="113"/>
      <c r="C20" s="258" t="s">
        <v>16</v>
      </c>
      <c r="D20" s="259"/>
      <c r="E20" s="284" t="s">
        <v>462</v>
      </c>
      <c r="F20" s="285"/>
      <c r="G20" s="1"/>
      <c r="H20" s="116"/>
      <c r="I20" s="106"/>
      <c r="J20" s="106"/>
      <c r="K20" s="106"/>
      <c r="L20" s="106"/>
      <c r="M20" s="106"/>
      <c r="N20" s="106"/>
      <c r="O20" s="106"/>
      <c r="P20" s="106"/>
      <c r="Q20" s="106"/>
      <c r="R20" s="106"/>
      <c r="S20" s="106"/>
      <c r="T20" s="106"/>
      <c r="U20" s="106"/>
      <c r="V20" s="106"/>
      <c r="W20" s="106"/>
      <c r="X20" s="106"/>
      <c r="Y20" s="106"/>
      <c r="Z20" s="106"/>
    </row>
    <row r="21" spans="1:26" ht="64.5" customHeight="1">
      <c r="A21" s="106"/>
      <c r="B21" s="113"/>
      <c r="C21" s="258" t="s">
        <v>21</v>
      </c>
      <c r="D21" s="259"/>
      <c r="E21" s="284" t="s">
        <v>463</v>
      </c>
      <c r="F21" s="285"/>
      <c r="G21" s="1"/>
      <c r="H21" s="116"/>
      <c r="I21" s="106"/>
      <c r="J21" s="106"/>
      <c r="K21" s="106"/>
      <c r="L21" s="106"/>
      <c r="M21" s="106"/>
      <c r="N21" s="106"/>
      <c r="O21" s="106"/>
      <c r="P21" s="106"/>
      <c r="Q21" s="106"/>
      <c r="R21" s="106"/>
      <c r="S21" s="106"/>
      <c r="T21" s="106"/>
      <c r="U21" s="106"/>
      <c r="V21" s="106"/>
      <c r="W21" s="106"/>
      <c r="X21" s="106"/>
      <c r="Y21" s="106"/>
      <c r="Z21" s="106"/>
    </row>
    <row r="22" spans="1:26" ht="71.25" customHeight="1">
      <c r="A22" s="106"/>
      <c r="B22" s="113"/>
      <c r="C22" s="258" t="s">
        <v>464</v>
      </c>
      <c r="D22" s="259"/>
      <c r="E22" s="284" t="s">
        <v>465</v>
      </c>
      <c r="F22" s="285"/>
      <c r="G22" s="1"/>
      <c r="H22" s="116"/>
      <c r="I22" s="106"/>
      <c r="J22" s="106"/>
      <c r="K22" s="106"/>
      <c r="L22" s="106"/>
      <c r="M22" s="106"/>
      <c r="N22" s="106"/>
      <c r="O22" s="106"/>
      <c r="P22" s="106"/>
      <c r="Q22" s="106"/>
      <c r="R22" s="106"/>
      <c r="S22" s="106"/>
      <c r="T22" s="106"/>
      <c r="U22" s="106"/>
      <c r="V22" s="106"/>
      <c r="W22" s="106"/>
      <c r="X22" s="106"/>
      <c r="Y22" s="106"/>
      <c r="Z22" s="106"/>
    </row>
    <row r="23" spans="1:26" ht="55.5" customHeight="1">
      <c r="A23" s="106"/>
      <c r="B23" s="113"/>
      <c r="C23" s="258" t="s">
        <v>466</v>
      </c>
      <c r="D23" s="259"/>
      <c r="E23" s="284" t="s">
        <v>467</v>
      </c>
      <c r="F23" s="285"/>
      <c r="G23" s="1"/>
      <c r="H23" s="116"/>
      <c r="I23" s="106"/>
      <c r="J23" s="106"/>
      <c r="K23" s="106"/>
      <c r="L23" s="106"/>
      <c r="M23" s="106"/>
      <c r="N23" s="106"/>
      <c r="O23" s="106"/>
      <c r="P23" s="106"/>
      <c r="Q23" s="106"/>
      <c r="R23" s="106"/>
      <c r="S23" s="106"/>
      <c r="T23" s="106"/>
      <c r="U23" s="106"/>
      <c r="V23" s="106"/>
      <c r="W23" s="106"/>
      <c r="X23" s="106"/>
      <c r="Y23" s="106"/>
      <c r="Z23" s="106"/>
    </row>
    <row r="24" spans="1:26" ht="42" customHeight="1">
      <c r="A24" s="106"/>
      <c r="B24" s="113"/>
      <c r="C24" s="258" t="s">
        <v>468</v>
      </c>
      <c r="D24" s="259"/>
      <c r="E24" s="284" t="s">
        <v>469</v>
      </c>
      <c r="F24" s="285"/>
      <c r="G24" s="1"/>
      <c r="H24" s="116"/>
      <c r="I24" s="106"/>
      <c r="J24" s="106"/>
      <c r="K24" s="106"/>
      <c r="L24" s="106"/>
      <c r="M24" s="106"/>
      <c r="N24" s="106"/>
      <c r="O24" s="106"/>
      <c r="P24" s="106"/>
      <c r="Q24" s="106"/>
      <c r="R24" s="106"/>
      <c r="S24" s="106"/>
      <c r="T24" s="106"/>
      <c r="U24" s="106"/>
      <c r="V24" s="106"/>
      <c r="W24" s="106"/>
      <c r="X24" s="106"/>
      <c r="Y24" s="106"/>
      <c r="Z24" s="106"/>
    </row>
    <row r="25" spans="1:26" ht="59.25" customHeight="1">
      <c r="A25" s="106"/>
      <c r="B25" s="113"/>
      <c r="C25" s="258" t="s">
        <v>470</v>
      </c>
      <c r="D25" s="259"/>
      <c r="E25" s="284" t="s">
        <v>471</v>
      </c>
      <c r="F25" s="285"/>
      <c r="G25" s="1"/>
      <c r="H25" s="116"/>
      <c r="I25" s="106"/>
      <c r="J25" s="106"/>
      <c r="K25" s="106"/>
      <c r="L25" s="106"/>
      <c r="M25" s="106"/>
      <c r="N25" s="106"/>
      <c r="O25" s="106"/>
      <c r="P25" s="106"/>
      <c r="Q25" s="106"/>
      <c r="R25" s="106"/>
      <c r="S25" s="106"/>
      <c r="T25" s="106"/>
      <c r="U25" s="106"/>
      <c r="V25" s="106"/>
      <c r="W25" s="106"/>
      <c r="X25" s="106"/>
      <c r="Y25" s="106"/>
      <c r="Z25" s="106"/>
    </row>
    <row r="26" spans="1:26" ht="23.25" customHeight="1">
      <c r="A26" s="106"/>
      <c r="B26" s="113"/>
      <c r="C26" s="258" t="s">
        <v>32</v>
      </c>
      <c r="D26" s="259"/>
      <c r="E26" s="284" t="s">
        <v>472</v>
      </c>
      <c r="F26" s="285"/>
      <c r="G26" s="1"/>
      <c r="H26" s="116"/>
      <c r="I26" s="106"/>
      <c r="J26" s="106"/>
      <c r="K26" s="106"/>
      <c r="L26" s="106"/>
      <c r="M26" s="106"/>
      <c r="N26" s="106"/>
      <c r="O26" s="106"/>
      <c r="P26" s="106"/>
      <c r="Q26" s="106"/>
      <c r="R26" s="106"/>
      <c r="S26" s="106"/>
      <c r="T26" s="106"/>
      <c r="U26" s="106"/>
      <c r="V26" s="106"/>
      <c r="W26" s="106"/>
      <c r="X26" s="106"/>
      <c r="Y26" s="106"/>
      <c r="Z26" s="106"/>
    </row>
    <row r="27" spans="1:26" ht="30.75" customHeight="1">
      <c r="A27" s="106"/>
      <c r="B27" s="113"/>
      <c r="C27" s="258" t="s">
        <v>473</v>
      </c>
      <c r="D27" s="259"/>
      <c r="E27" s="284" t="s">
        <v>474</v>
      </c>
      <c r="F27" s="285"/>
      <c r="G27" s="1"/>
      <c r="H27" s="116"/>
      <c r="I27" s="106"/>
      <c r="J27" s="106"/>
      <c r="K27" s="106"/>
      <c r="L27" s="106"/>
      <c r="M27" s="106"/>
      <c r="N27" s="106"/>
      <c r="O27" s="106"/>
      <c r="P27" s="106"/>
      <c r="Q27" s="106"/>
      <c r="R27" s="106"/>
      <c r="S27" s="106"/>
      <c r="T27" s="106"/>
      <c r="U27" s="106"/>
      <c r="V27" s="106"/>
      <c r="W27" s="106"/>
      <c r="X27" s="106"/>
      <c r="Y27" s="106"/>
      <c r="Z27" s="106"/>
    </row>
    <row r="28" spans="1:26" ht="35.25" customHeight="1">
      <c r="A28" s="106"/>
      <c r="B28" s="113"/>
      <c r="C28" s="258" t="s">
        <v>475</v>
      </c>
      <c r="D28" s="259"/>
      <c r="E28" s="284" t="s">
        <v>476</v>
      </c>
      <c r="F28" s="285"/>
      <c r="G28" s="1"/>
      <c r="H28" s="116"/>
      <c r="I28" s="106"/>
      <c r="J28" s="106"/>
      <c r="K28" s="106"/>
      <c r="L28" s="106"/>
      <c r="M28" s="106"/>
      <c r="N28" s="106"/>
      <c r="O28" s="106"/>
      <c r="P28" s="106"/>
      <c r="Q28" s="106"/>
      <c r="R28" s="106"/>
      <c r="S28" s="106"/>
      <c r="T28" s="106"/>
      <c r="U28" s="106"/>
      <c r="V28" s="106"/>
      <c r="W28" s="106"/>
      <c r="X28" s="106"/>
      <c r="Y28" s="106"/>
      <c r="Z28" s="106"/>
    </row>
    <row r="29" spans="1:26" ht="33" customHeight="1">
      <c r="A29" s="106"/>
      <c r="B29" s="113"/>
      <c r="C29" s="258" t="s">
        <v>477</v>
      </c>
      <c r="D29" s="259"/>
      <c r="E29" s="284" t="s">
        <v>476</v>
      </c>
      <c r="F29" s="285"/>
      <c r="G29" s="1"/>
      <c r="H29" s="116"/>
      <c r="I29" s="106"/>
      <c r="J29" s="106"/>
      <c r="K29" s="106"/>
      <c r="L29" s="106"/>
      <c r="M29" s="106"/>
      <c r="N29" s="106"/>
      <c r="O29" s="106"/>
      <c r="P29" s="106"/>
      <c r="Q29" s="106"/>
      <c r="R29" s="106"/>
      <c r="S29" s="106"/>
      <c r="T29" s="106"/>
      <c r="U29" s="106"/>
      <c r="V29" s="106"/>
      <c r="W29" s="106"/>
      <c r="X29" s="106"/>
      <c r="Y29" s="106"/>
      <c r="Z29" s="106"/>
    </row>
    <row r="30" spans="1:26" ht="30" customHeight="1">
      <c r="A30" s="106"/>
      <c r="B30" s="113"/>
      <c r="C30" s="258" t="s">
        <v>478</v>
      </c>
      <c r="D30" s="259"/>
      <c r="E30" s="284" t="s">
        <v>479</v>
      </c>
      <c r="F30" s="285"/>
      <c r="G30" s="1"/>
      <c r="H30" s="116"/>
      <c r="I30" s="106"/>
      <c r="J30" s="106"/>
      <c r="K30" s="106"/>
      <c r="L30" s="106"/>
      <c r="M30" s="106"/>
      <c r="N30" s="106"/>
      <c r="O30" s="106"/>
      <c r="P30" s="106"/>
      <c r="Q30" s="106"/>
      <c r="R30" s="106"/>
      <c r="S30" s="106"/>
      <c r="T30" s="106"/>
      <c r="U30" s="106"/>
      <c r="V30" s="106"/>
      <c r="W30" s="106"/>
      <c r="X30" s="106"/>
      <c r="Y30" s="106"/>
      <c r="Z30" s="106"/>
    </row>
    <row r="31" spans="1:26" ht="35.25" customHeight="1">
      <c r="A31" s="106"/>
      <c r="B31" s="113"/>
      <c r="C31" s="258" t="s">
        <v>480</v>
      </c>
      <c r="D31" s="259"/>
      <c r="E31" s="284" t="s">
        <v>481</v>
      </c>
      <c r="F31" s="285"/>
      <c r="G31" s="1"/>
      <c r="H31" s="116"/>
      <c r="I31" s="106"/>
      <c r="J31" s="106"/>
      <c r="K31" s="106"/>
      <c r="L31" s="106"/>
      <c r="M31" s="106"/>
      <c r="N31" s="106"/>
      <c r="O31" s="106"/>
      <c r="P31" s="106"/>
      <c r="Q31" s="106"/>
      <c r="R31" s="106"/>
      <c r="S31" s="106"/>
      <c r="T31" s="106"/>
      <c r="U31" s="106"/>
      <c r="V31" s="106"/>
      <c r="W31" s="106"/>
      <c r="X31" s="106"/>
      <c r="Y31" s="106"/>
      <c r="Z31" s="106"/>
    </row>
    <row r="32" spans="1:26" ht="31.5" customHeight="1">
      <c r="A32" s="106"/>
      <c r="B32" s="113"/>
      <c r="C32" s="258" t="s">
        <v>482</v>
      </c>
      <c r="D32" s="259"/>
      <c r="E32" s="284" t="s">
        <v>483</v>
      </c>
      <c r="F32" s="285"/>
      <c r="G32" s="1"/>
      <c r="H32" s="116"/>
      <c r="I32" s="106"/>
      <c r="J32" s="106"/>
      <c r="K32" s="106"/>
      <c r="L32" s="106"/>
      <c r="M32" s="106"/>
      <c r="N32" s="106"/>
      <c r="O32" s="106"/>
      <c r="P32" s="106"/>
      <c r="Q32" s="106"/>
      <c r="R32" s="106"/>
      <c r="S32" s="106"/>
      <c r="T32" s="106"/>
      <c r="U32" s="106"/>
      <c r="V32" s="106"/>
      <c r="W32" s="106"/>
      <c r="X32" s="106"/>
      <c r="Y32" s="106"/>
      <c r="Z32" s="106"/>
    </row>
    <row r="33" spans="1:26" ht="35.25" customHeight="1">
      <c r="A33" s="106"/>
      <c r="B33" s="113"/>
      <c r="C33" s="258" t="s">
        <v>484</v>
      </c>
      <c r="D33" s="259"/>
      <c r="E33" s="284" t="s">
        <v>485</v>
      </c>
      <c r="F33" s="285"/>
      <c r="G33" s="1"/>
      <c r="H33" s="116"/>
      <c r="I33" s="106"/>
      <c r="J33" s="106"/>
      <c r="K33" s="106"/>
      <c r="L33" s="106"/>
      <c r="M33" s="106"/>
      <c r="N33" s="106"/>
      <c r="O33" s="106"/>
      <c r="P33" s="106"/>
      <c r="Q33" s="106"/>
      <c r="R33" s="106"/>
      <c r="S33" s="106"/>
      <c r="T33" s="106"/>
      <c r="U33" s="106"/>
      <c r="V33" s="106"/>
      <c r="W33" s="106"/>
      <c r="X33" s="106"/>
      <c r="Y33" s="106"/>
      <c r="Z33" s="106"/>
    </row>
    <row r="34" spans="1:26" ht="59.25" customHeight="1">
      <c r="A34" s="106"/>
      <c r="B34" s="113"/>
      <c r="C34" s="258" t="s">
        <v>486</v>
      </c>
      <c r="D34" s="259"/>
      <c r="E34" s="284" t="s">
        <v>487</v>
      </c>
      <c r="F34" s="285"/>
      <c r="G34" s="1"/>
      <c r="H34" s="116"/>
      <c r="I34" s="106"/>
      <c r="J34" s="106"/>
      <c r="K34" s="106"/>
      <c r="L34" s="106"/>
      <c r="M34" s="106"/>
      <c r="N34" s="106"/>
      <c r="O34" s="106"/>
      <c r="P34" s="106"/>
      <c r="Q34" s="106"/>
      <c r="R34" s="106"/>
      <c r="S34" s="106"/>
      <c r="T34" s="106"/>
      <c r="U34" s="106"/>
      <c r="V34" s="106"/>
      <c r="W34" s="106"/>
      <c r="X34" s="106"/>
      <c r="Y34" s="106"/>
      <c r="Z34" s="106"/>
    </row>
    <row r="35" spans="1:26" ht="52.5" customHeight="1">
      <c r="A35" s="106"/>
      <c r="B35" s="113"/>
      <c r="C35" s="258" t="s">
        <v>488</v>
      </c>
      <c r="D35" s="259"/>
      <c r="E35" s="284" t="s">
        <v>489</v>
      </c>
      <c r="F35" s="285"/>
      <c r="G35" s="1"/>
      <c r="H35" s="116"/>
      <c r="I35" s="106"/>
      <c r="J35" s="106"/>
      <c r="K35" s="106"/>
      <c r="L35" s="106"/>
      <c r="M35" s="106"/>
      <c r="N35" s="106"/>
      <c r="O35" s="106"/>
      <c r="P35" s="106"/>
      <c r="Q35" s="106"/>
      <c r="R35" s="106"/>
      <c r="S35" s="106"/>
      <c r="T35" s="106"/>
      <c r="U35" s="106"/>
      <c r="V35" s="106"/>
      <c r="W35" s="106"/>
      <c r="X35" s="106"/>
      <c r="Y35" s="106"/>
      <c r="Z35" s="106"/>
    </row>
    <row r="36" spans="1:26" ht="82.5" customHeight="1">
      <c r="A36" s="106"/>
      <c r="B36" s="113"/>
      <c r="C36" s="258" t="s">
        <v>490</v>
      </c>
      <c r="D36" s="259"/>
      <c r="E36" s="284" t="s">
        <v>491</v>
      </c>
      <c r="F36" s="285"/>
      <c r="G36" s="1"/>
      <c r="H36" s="116"/>
      <c r="I36" s="106"/>
      <c r="J36" s="106"/>
      <c r="K36" s="106"/>
      <c r="L36" s="106"/>
      <c r="M36" s="106"/>
      <c r="N36" s="106"/>
      <c r="O36" s="106"/>
      <c r="P36" s="106"/>
      <c r="Q36" s="106"/>
      <c r="R36" s="106"/>
      <c r="S36" s="106"/>
      <c r="T36" s="106"/>
      <c r="U36" s="106"/>
      <c r="V36" s="106"/>
      <c r="W36" s="106"/>
      <c r="X36" s="106"/>
      <c r="Y36" s="106"/>
      <c r="Z36" s="106"/>
    </row>
    <row r="37" spans="1:26" ht="46.5" customHeight="1">
      <c r="A37" s="106"/>
      <c r="B37" s="113"/>
      <c r="C37" s="258" t="s">
        <v>492</v>
      </c>
      <c r="D37" s="259"/>
      <c r="E37" s="284" t="s">
        <v>493</v>
      </c>
      <c r="F37" s="285"/>
      <c r="G37" s="1"/>
      <c r="H37" s="116"/>
      <c r="I37" s="106"/>
      <c r="J37" s="106"/>
      <c r="K37" s="106"/>
      <c r="L37" s="106"/>
      <c r="M37" s="106"/>
      <c r="N37" s="106"/>
      <c r="O37" s="106"/>
      <c r="P37" s="106"/>
      <c r="Q37" s="106"/>
      <c r="R37" s="106"/>
      <c r="S37" s="106"/>
      <c r="T37" s="106"/>
      <c r="U37" s="106"/>
      <c r="V37" s="106"/>
      <c r="W37" s="106"/>
      <c r="X37" s="106"/>
      <c r="Y37" s="106"/>
      <c r="Z37" s="106"/>
    </row>
    <row r="38" spans="1:26" ht="6.75" customHeight="1">
      <c r="A38" s="106"/>
      <c r="B38" s="113"/>
      <c r="C38" s="260"/>
      <c r="D38" s="261"/>
      <c r="E38" s="286"/>
      <c r="F38" s="287"/>
      <c r="G38" s="1"/>
      <c r="H38" s="116"/>
      <c r="I38" s="106"/>
      <c r="J38" s="106"/>
      <c r="K38" s="106"/>
      <c r="L38" s="106"/>
      <c r="M38" s="106"/>
      <c r="N38" s="106"/>
      <c r="O38" s="106"/>
      <c r="P38" s="106"/>
      <c r="Q38" s="106"/>
      <c r="R38" s="106"/>
      <c r="S38" s="106"/>
      <c r="T38" s="106"/>
      <c r="U38" s="106"/>
      <c r="V38" s="106"/>
      <c r="W38" s="106"/>
      <c r="X38" s="106"/>
      <c r="Y38" s="106"/>
      <c r="Z38" s="106"/>
    </row>
    <row r="39" spans="1:26" ht="14.25" customHeight="1">
      <c r="A39" s="106"/>
      <c r="B39" s="113"/>
      <c r="C39" s="117"/>
      <c r="D39" s="117"/>
      <c r="E39" s="118"/>
      <c r="F39" s="118"/>
      <c r="G39" s="1"/>
      <c r="H39" s="116"/>
      <c r="I39" s="106"/>
      <c r="J39" s="106"/>
      <c r="K39" s="106"/>
      <c r="L39" s="106"/>
      <c r="M39" s="106"/>
      <c r="N39" s="106"/>
      <c r="O39" s="106"/>
      <c r="P39" s="106"/>
      <c r="Q39" s="106"/>
      <c r="R39" s="106"/>
      <c r="S39" s="106"/>
      <c r="T39" s="106"/>
      <c r="U39" s="106"/>
      <c r="V39" s="106"/>
      <c r="W39" s="106"/>
      <c r="X39" s="106"/>
      <c r="Y39" s="106"/>
      <c r="Z39" s="106"/>
    </row>
    <row r="40" spans="1:26" ht="37.5" customHeight="1">
      <c r="A40" s="106"/>
      <c r="B40" s="288" t="s">
        <v>494</v>
      </c>
      <c r="C40" s="289"/>
      <c r="D40" s="289"/>
      <c r="E40" s="289"/>
      <c r="F40" s="289"/>
      <c r="G40" s="289"/>
      <c r="H40" s="290"/>
      <c r="I40" s="106"/>
      <c r="J40" s="106"/>
      <c r="K40" s="106"/>
      <c r="L40" s="106"/>
      <c r="M40" s="106"/>
      <c r="N40" s="106"/>
      <c r="O40" s="106"/>
      <c r="P40" s="106"/>
      <c r="Q40" s="106"/>
      <c r="R40" s="106"/>
      <c r="S40" s="106"/>
      <c r="T40" s="106"/>
      <c r="U40" s="106"/>
      <c r="V40" s="106"/>
      <c r="W40" s="106"/>
      <c r="X40" s="106"/>
      <c r="Y40" s="106"/>
      <c r="Z40" s="106"/>
    </row>
    <row r="41" spans="1:26" ht="36.75" customHeight="1">
      <c r="A41" s="106"/>
      <c r="B41" s="288" t="s">
        <v>495</v>
      </c>
      <c r="C41" s="289"/>
      <c r="D41" s="289"/>
      <c r="E41" s="289"/>
      <c r="F41" s="289"/>
      <c r="G41" s="289"/>
      <c r="H41" s="290"/>
      <c r="I41" s="106"/>
      <c r="J41" s="106"/>
      <c r="K41" s="106"/>
      <c r="L41" s="106"/>
      <c r="M41" s="106"/>
      <c r="N41" s="106"/>
      <c r="O41" s="106"/>
      <c r="P41" s="106"/>
      <c r="Q41" s="106"/>
      <c r="R41" s="106"/>
      <c r="S41" s="106"/>
      <c r="T41" s="106"/>
      <c r="U41" s="106"/>
      <c r="V41" s="106"/>
      <c r="W41" s="106"/>
      <c r="X41" s="106"/>
      <c r="Y41" s="106"/>
      <c r="Z41" s="106"/>
    </row>
    <row r="42" spans="1:26" ht="20.25" customHeight="1">
      <c r="A42" s="106"/>
      <c r="B42" s="288" t="s">
        <v>496</v>
      </c>
      <c r="C42" s="289"/>
      <c r="D42" s="289"/>
      <c r="E42" s="289"/>
      <c r="F42" s="289"/>
      <c r="G42" s="289"/>
      <c r="H42" s="290"/>
      <c r="I42" s="106"/>
      <c r="J42" s="106"/>
      <c r="K42" s="106"/>
      <c r="L42" s="106"/>
      <c r="M42" s="106"/>
      <c r="N42" s="106"/>
      <c r="O42" s="106"/>
      <c r="P42" s="106"/>
      <c r="Q42" s="106"/>
      <c r="R42" s="106"/>
      <c r="S42" s="106"/>
      <c r="T42" s="106"/>
      <c r="U42" s="106"/>
      <c r="V42" s="106"/>
      <c r="W42" s="106"/>
      <c r="X42" s="106"/>
      <c r="Y42" s="106"/>
      <c r="Z42" s="106"/>
    </row>
    <row r="43" spans="1:26" ht="20.25" customHeight="1">
      <c r="A43" s="106"/>
      <c r="B43" s="288" t="s">
        <v>497</v>
      </c>
      <c r="C43" s="289"/>
      <c r="D43" s="289"/>
      <c r="E43" s="289"/>
      <c r="F43" s="289"/>
      <c r="G43" s="289"/>
      <c r="H43" s="290"/>
      <c r="I43" s="106"/>
      <c r="J43" s="106"/>
      <c r="K43" s="106"/>
      <c r="L43" s="106"/>
      <c r="M43" s="106"/>
      <c r="N43" s="106"/>
      <c r="O43" s="106"/>
      <c r="P43" s="106"/>
      <c r="Q43" s="106"/>
      <c r="R43" s="106"/>
      <c r="S43" s="106"/>
      <c r="T43" s="106"/>
      <c r="U43" s="106"/>
      <c r="V43" s="106"/>
      <c r="W43" s="106"/>
      <c r="X43" s="106"/>
      <c r="Y43" s="106"/>
      <c r="Z43" s="106"/>
    </row>
    <row r="44" spans="1:26" ht="14.25" customHeight="1">
      <c r="A44" s="106"/>
      <c r="B44" s="288" t="s">
        <v>498</v>
      </c>
      <c r="C44" s="289"/>
      <c r="D44" s="289"/>
      <c r="E44" s="289"/>
      <c r="F44" s="289"/>
      <c r="G44" s="289"/>
      <c r="H44" s="290"/>
      <c r="I44" s="106"/>
      <c r="J44" s="106"/>
      <c r="K44" s="106"/>
      <c r="L44" s="106"/>
      <c r="M44" s="106"/>
      <c r="N44" s="106"/>
      <c r="O44" s="106"/>
      <c r="P44" s="106"/>
      <c r="Q44" s="106"/>
      <c r="R44" s="106"/>
      <c r="S44" s="106"/>
      <c r="T44" s="106"/>
      <c r="U44" s="106"/>
      <c r="V44" s="106"/>
      <c r="W44" s="106"/>
      <c r="X44" s="106"/>
      <c r="Y44" s="106"/>
      <c r="Z44" s="106"/>
    </row>
    <row r="45" spans="1:26" ht="14.25" customHeight="1">
      <c r="A45" s="106"/>
      <c r="B45" s="119"/>
      <c r="C45" s="120"/>
      <c r="D45" s="120"/>
      <c r="E45" s="120"/>
      <c r="F45" s="120"/>
      <c r="G45" s="120"/>
      <c r="H45" s="121"/>
      <c r="I45" s="106"/>
      <c r="J45" s="106"/>
      <c r="K45" s="106"/>
      <c r="L45" s="106"/>
      <c r="M45" s="106"/>
      <c r="N45" s="106"/>
      <c r="O45" s="106"/>
      <c r="P45" s="106"/>
      <c r="Q45" s="106"/>
      <c r="R45" s="106"/>
      <c r="S45" s="106"/>
      <c r="T45" s="106"/>
      <c r="U45" s="106"/>
      <c r="V45" s="106"/>
      <c r="W45" s="106"/>
      <c r="X45" s="106"/>
      <c r="Y45" s="106"/>
      <c r="Z45" s="106"/>
    </row>
    <row r="46" spans="1:26" ht="14.2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ht="14.2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ht="14.2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ht="14.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ht="14.2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ht="14.2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ht="14.2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ht="14.2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ht="14.2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ht="14.2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ht="14.2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ht="14.2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ht="14.2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ht="14.2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ht="14.2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1:26" ht="14.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spans="1:26" ht="14.2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spans="1:26" ht="14.2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spans="1:26" ht="14.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spans="1:26" ht="14.2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spans="1:26" ht="14.2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spans="1:26" ht="14.2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spans="1:26" ht="14.2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spans="1:26" ht="14.2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spans="1:26" ht="14.2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spans="1:26" ht="14.2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spans="1:26" ht="14.2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spans="1:26" ht="14.2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spans="1:26" ht="14.2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spans="1:26" ht="14.2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spans="1:26" ht="14.2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spans="1:26" ht="14.2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spans="1:26" ht="14.2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spans="1:26" ht="14.2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spans="1:26" ht="14.2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spans="1:26" ht="14.2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spans="1:26" ht="14.2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spans="1:26" ht="14.2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spans="1:26" ht="14.2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spans="1:26" ht="14.2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spans="1:26" ht="14.2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spans="1:26" ht="14.2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spans="1:26" ht="14.2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spans="1:26" ht="14.2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spans="1:26" ht="14.2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spans="1:26" ht="14.2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spans="1:26" ht="14.2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spans="1:26" ht="14.2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spans="1:26" ht="14.2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spans="1:26" ht="14.2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spans="1:26" ht="14.2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spans="1:26" ht="14.2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spans="1:26" ht="14.2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spans="1:26" ht="14.2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spans="1:26" ht="14.2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spans="1:26" ht="14.2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spans="1:26" ht="14.2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spans="1:26" ht="14.2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spans="1:26" ht="14.2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spans="1:26" ht="14.2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spans="1:26" ht="14.2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spans="1:26" ht="14.2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spans="1:26" ht="14.2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spans="1:26" ht="14.2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spans="1:26" ht="14.2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spans="1:26" ht="14.2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spans="1:26" ht="14.2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spans="1:26" ht="14.2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spans="1:26" ht="14.2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spans="1:26" ht="14.2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spans="1:26" ht="14.2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spans="1:26" ht="14.2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spans="1:26" ht="14.2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spans="1:26" ht="14.2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spans="1:26" ht="14.2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spans="1:26" ht="14.2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spans="1:26" ht="14.2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spans="1:26" ht="14.2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spans="1:26" ht="14.2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spans="1:26" ht="14.2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spans="1:26" ht="14.2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spans="1:26" ht="14.2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spans="1:26" ht="14.2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spans="1:26" ht="14.2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spans="1:26" ht="14.2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spans="1:26" ht="14.2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spans="1:26" ht="14.2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spans="1:26" ht="14.2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spans="1:26" ht="14.2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spans="1:26" ht="14.2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spans="1:26" ht="14.2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spans="1:26" ht="14.2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spans="1:26" ht="14.2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spans="1:26" ht="14.2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spans="1:26" ht="14.2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spans="1:26" ht="14.2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spans="1:26" ht="14.2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spans="1:26" ht="14.2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spans="1:26" ht="14.2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spans="1:26" ht="14.2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spans="1:26" ht="14.2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spans="1:26" ht="14.2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spans="1:26" ht="14.2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spans="1:26" ht="14.2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spans="1:26" ht="14.2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spans="1:26" ht="14.2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spans="1:26" ht="14.2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spans="1:26" ht="14.2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spans="1:26" ht="14.2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spans="1:26" ht="14.2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spans="1:26" ht="14.2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spans="1:26" ht="14.2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spans="1:26" ht="14.2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spans="1:26" ht="14.2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spans="1:26" ht="14.2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spans="1:26" ht="14.2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spans="1:26" ht="14.2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spans="1:26" ht="14.2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spans="1:26" ht="14.2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spans="1:26" ht="14.2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spans="1:26" ht="14.2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spans="1:26" ht="14.2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spans="1:26" ht="14.2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spans="1:26" ht="14.2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spans="1:26" ht="14.2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spans="1:26" ht="14.2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spans="1:26" ht="14.2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spans="1:26" ht="14.2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spans="1:26" ht="14.2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spans="1:26" ht="14.2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spans="1:26" ht="14.2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spans="1:26" ht="14.2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spans="1:26" ht="14.2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spans="1:26" ht="14.2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spans="1:26" ht="14.2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spans="1:26" ht="14.2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spans="1:26" ht="14.2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spans="1:26" ht="14.2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spans="1:26" ht="14.2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spans="1:26" ht="14.2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spans="1:26" ht="14.2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spans="1:26" ht="14.2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spans="1:26" ht="14.2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spans="1:26" ht="14.2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spans="1:26" ht="14.2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spans="1:26" ht="14.2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spans="1:26" ht="14.2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spans="1:26" ht="14.2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spans="1:26" ht="14.2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spans="1:26" ht="14.2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spans="1:26" ht="14.2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spans="1:26" ht="14.2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spans="1:26" ht="14.2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spans="1:26" ht="14.2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spans="1:26" ht="14.2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spans="1:26" ht="14.2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spans="1:26" ht="14.2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spans="1:26" ht="14.2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spans="1:26" ht="14.2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spans="1:26" ht="14.2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spans="1:26" ht="14.2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spans="1:26" ht="14.2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spans="1:26" ht="14.2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spans="1:26" ht="14.2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spans="1:26" ht="14.2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spans="1:26" ht="14.2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spans="1:26" ht="14.2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spans="1:26" ht="14.2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spans="1:26" ht="14.2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spans="1:26" ht="14.2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spans="1:26" ht="14.2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spans="1:26" ht="14.2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spans="1:26" ht="14.2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spans="1:26" ht="14.2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spans="1:26" ht="14.2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spans="1:26" ht="14.2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spans="1:26" ht="14.2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spans="1:26" ht="14.2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spans="1:26" ht="14.2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spans="1:26" ht="14.2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spans="1:26" ht="14.2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spans="1:26" ht="14.2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spans="1:26" ht="14.2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spans="1:26" ht="14.2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spans="1:26" ht="14.2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spans="1:26" ht="14.2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spans="1:26" ht="14.2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spans="1:26" ht="14.2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spans="1:26" ht="14.2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spans="1:26" ht="14.2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spans="1:26" ht="14.2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spans="1:26" ht="14.2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spans="1:26" ht="14.2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spans="1:26" ht="14.2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spans="1:26" ht="14.2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spans="1:26" ht="14.2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spans="1:26" ht="14.2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spans="1:26" ht="14.2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spans="1:26" ht="14.2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row>
    <row r="2" spans="1:61" ht="18" customHeight="1">
      <c r="A2" s="122"/>
      <c r="B2" s="325" t="s">
        <v>499</v>
      </c>
      <c r="C2" s="224"/>
      <c r="D2" s="224"/>
      <c r="E2" s="224"/>
      <c r="F2" s="224"/>
      <c r="G2" s="224"/>
      <c r="H2" s="224"/>
      <c r="I2" s="224"/>
      <c r="J2" s="326" t="s">
        <v>17</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8.75" customHeight="1">
      <c r="A3" s="122"/>
      <c r="B3" s="224"/>
      <c r="C3" s="224"/>
      <c r="D3" s="224"/>
      <c r="E3" s="224"/>
      <c r="F3" s="224"/>
      <c r="G3" s="224"/>
      <c r="H3" s="224"/>
      <c r="I3" s="224"/>
      <c r="J3" s="29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122"/>
      <c r="AO3" s="122"/>
      <c r="AP3" s="122"/>
      <c r="AQ3" s="122"/>
      <c r="AR3" s="122"/>
      <c r="AS3" s="122"/>
      <c r="AT3" s="122"/>
      <c r="AU3" s="122"/>
      <c r="AV3" s="122"/>
      <c r="AW3" s="122"/>
      <c r="AX3" s="122"/>
      <c r="AY3" s="122"/>
      <c r="AZ3" s="122"/>
      <c r="BA3" s="122"/>
      <c r="BB3" s="122"/>
      <c r="BC3" s="122"/>
      <c r="BD3" s="122"/>
      <c r="BE3" s="122"/>
      <c r="BF3" s="122"/>
      <c r="BG3" s="122"/>
      <c r="BH3" s="122"/>
      <c r="BI3" s="122"/>
    </row>
    <row r="4" spans="1:61" ht="15" customHeight="1">
      <c r="A4" s="122"/>
      <c r="B4" s="224"/>
      <c r="C4" s="224"/>
      <c r="D4" s="224"/>
      <c r="E4" s="224"/>
      <c r="F4" s="224"/>
      <c r="G4" s="224"/>
      <c r="H4" s="224"/>
      <c r="I4" s="224"/>
      <c r="J4" s="293"/>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122"/>
      <c r="AO4" s="122"/>
      <c r="AP4" s="122"/>
      <c r="AQ4" s="122"/>
      <c r="AR4" s="122"/>
      <c r="AS4" s="122"/>
      <c r="AT4" s="122"/>
      <c r="AU4" s="122"/>
      <c r="AV4" s="122"/>
      <c r="AW4" s="122"/>
      <c r="AX4" s="122"/>
      <c r="AY4" s="122"/>
      <c r="AZ4" s="122"/>
      <c r="BA4" s="122"/>
      <c r="BB4" s="122"/>
      <c r="BC4" s="122"/>
      <c r="BD4" s="122"/>
      <c r="BE4" s="122"/>
      <c r="BF4" s="122"/>
      <c r="BG4" s="122"/>
      <c r="BH4" s="122"/>
      <c r="BI4" s="122"/>
    </row>
    <row r="5" spans="1:6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row>
    <row r="6" spans="1:61" ht="15" customHeight="1">
      <c r="A6" s="122"/>
      <c r="B6" s="327" t="s">
        <v>189</v>
      </c>
      <c r="C6" s="295"/>
      <c r="D6" s="292"/>
      <c r="E6" s="321" t="s">
        <v>500</v>
      </c>
      <c r="F6" s="222"/>
      <c r="G6" s="222"/>
      <c r="H6" s="222"/>
      <c r="I6" s="303"/>
      <c r="J6" s="298" t="e">
        <f>IF(AND('Mapa de Riesgos de Corrupción'!#REF!="Muy Alta",'Mapa de Riesgos de Corrupción'!#REF!="Leve"),CONCATENATE("R",'Mapa de Riesgos de Corrupción'!#REF!),"")</f>
        <v>#REF!</v>
      </c>
      <c r="K6" s="222"/>
      <c r="L6" s="299" t="e">
        <f>IF(AND('Mapa de Riesgos de Corrupción'!#REF!="Muy Alta",'Mapa de Riesgos de Corrupción'!#REF!="Leve"),CONCATENATE("R",'Mapa de Riesgos de Corrupción'!#REF!),"")</f>
        <v>#REF!</v>
      </c>
      <c r="M6" s="222"/>
      <c r="N6" s="299" t="e">
        <f>IF(AND('Mapa de Riesgos de Corrupción'!#REF!="Muy Alta",'Mapa de Riesgos de Corrupción'!#REF!="Leve"),CONCATENATE("R",'Mapa de Riesgos de Corrupción'!#REF!),"")</f>
        <v>#REF!</v>
      </c>
      <c r="O6" s="303"/>
      <c r="P6" s="298" t="e">
        <f>IF(AND('Mapa de Riesgos de Corrupción'!#REF!="Muy Alta",'Mapa de Riesgos de Corrupción'!#REF!="Menor"),CONCATENATE("R",'Mapa de Riesgos de Corrupción'!#REF!),"")</f>
        <v>#REF!</v>
      </c>
      <c r="Q6" s="222"/>
      <c r="R6" s="299" t="e">
        <f>IF(AND('Mapa de Riesgos de Corrupción'!#REF!="Muy Alta",'Mapa de Riesgos de Corrupción'!#REF!="Menor"),CONCATENATE("R",'Mapa de Riesgos de Corrupción'!#REF!),"")</f>
        <v>#REF!</v>
      </c>
      <c r="S6" s="222"/>
      <c r="T6" s="299" t="e">
        <f>IF(AND('Mapa de Riesgos de Corrupción'!#REF!="Muy Alta",'Mapa de Riesgos de Corrupción'!#REF!="Menor"),CONCATENATE("R",'Mapa de Riesgos de Corrupción'!#REF!),"")</f>
        <v>#REF!</v>
      </c>
      <c r="U6" s="303"/>
      <c r="V6" s="298" t="e">
        <f>IF(AND('Mapa de Riesgos de Corrupción'!#REF!="Muy Alta",'Mapa de Riesgos de Corrupción'!#REF!="Moderado"),CONCATENATE("R",'Mapa de Riesgos de Corrupción'!#REF!),"")</f>
        <v>#REF!</v>
      </c>
      <c r="W6" s="222"/>
      <c r="X6" s="299" t="e">
        <f>IF(AND('Mapa de Riesgos de Corrupción'!#REF!="Muy Alta",'Mapa de Riesgos de Corrupción'!#REF!="Moderado"),CONCATENATE("R",'Mapa de Riesgos de Corrupción'!#REF!),"")</f>
        <v>#REF!</v>
      </c>
      <c r="Y6" s="222"/>
      <c r="Z6" s="299" t="e">
        <f>IF(AND('Mapa de Riesgos de Corrupción'!#REF!="Muy Alta",'Mapa de Riesgos de Corrupción'!#REF!="Moderado"),CONCATENATE("R",'Mapa de Riesgos de Corrupción'!#REF!),"")</f>
        <v>#REF!</v>
      </c>
      <c r="AA6" s="303"/>
      <c r="AB6" s="298" t="e">
        <f>IF(AND('Mapa de Riesgos de Corrupción'!#REF!="Muy Alta",'Mapa de Riesgos de Corrupción'!#REF!="Mayor"),CONCATENATE("R",'Mapa de Riesgos de Corrupción'!#REF!),"")</f>
        <v>#REF!</v>
      </c>
      <c r="AC6" s="222"/>
      <c r="AD6" s="299" t="e">
        <f>IF(AND('Mapa de Riesgos de Corrupción'!#REF!="Muy Alta",'Mapa de Riesgos de Corrupción'!#REF!="Mayor"),CONCATENATE("R",'Mapa de Riesgos de Corrupción'!#REF!),"")</f>
        <v>#REF!</v>
      </c>
      <c r="AE6" s="222"/>
      <c r="AF6" s="299" t="e">
        <f>IF(AND('Mapa de Riesgos de Corrupción'!#REF!="Muy Alta",'Mapa de Riesgos de Corrupción'!#REF!="Mayor"),CONCATENATE("R",'Mapa de Riesgos de Corrupción'!#REF!),"")</f>
        <v>#REF!</v>
      </c>
      <c r="AG6" s="303"/>
      <c r="AH6" s="305" t="e">
        <f>IF(AND('Mapa de Riesgos de Corrupción'!#REF!="Muy Alta",'Mapa de Riesgos de Corrupción'!#REF!="Catastrófico"),CONCATENATE("R",'Mapa de Riesgos de Corrupción'!#REF!),"")</f>
        <v>#REF!</v>
      </c>
      <c r="AI6" s="222"/>
      <c r="AJ6" s="306" t="e">
        <f>IF(AND('Mapa de Riesgos de Corrupción'!#REF!="Muy Alta",'Mapa de Riesgos de Corrupción'!#REF!="Catastrófico"),CONCATENATE("R",'Mapa de Riesgos de Corrupción'!#REF!),"")</f>
        <v>#REF!</v>
      </c>
      <c r="AK6" s="222"/>
      <c r="AL6" s="306" t="e">
        <f>IF(AND('Mapa de Riesgos de Corrupción'!#REF!="Muy Alta",'Mapa de Riesgos de Corrupción'!#REF!="Catastrófico"),CONCATENATE("R",'Mapa de Riesgos de Corrupción'!#REF!),"")</f>
        <v>#REF!</v>
      </c>
      <c r="AM6" s="303"/>
      <c r="AO6" s="317" t="s">
        <v>501</v>
      </c>
      <c r="AP6" s="310"/>
      <c r="AQ6" s="310"/>
      <c r="AR6" s="310"/>
      <c r="AS6" s="310"/>
      <c r="AT6" s="311"/>
      <c r="AU6" s="122"/>
      <c r="AV6" s="122"/>
      <c r="AW6" s="122"/>
      <c r="AX6" s="122"/>
      <c r="AY6" s="122"/>
      <c r="AZ6" s="122"/>
      <c r="BA6" s="122"/>
      <c r="BB6" s="122"/>
      <c r="BC6" s="122"/>
      <c r="BD6" s="122"/>
      <c r="BE6" s="122"/>
      <c r="BF6" s="122"/>
      <c r="BG6" s="122"/>
      <c r="BH6" s="122"/>
      <c r="BI6" s="122"/>
    </row>
    <row r="7" spans="1:61" ht="15" customHeight="1">
      <c r="A7" s="122"/>
      <c r="B7" s="293"/>
      <c r="C7" s="224"/>
      <c r="D7" s="265"/>
      <c r="E7" s="223"/>
      <c r="F7" s="224"/>
      <c r="G7" s="224"/>
      <c r="H7" s="224"/>
      <c r="I7" s="265"/>
      <c r="J7" s="223"/>
      <c r="K7" s="224"/>
      <c r="L7" s="293"/>
      <c r="M7" s="224"/>
      <c r="N7" s="293"/>
      <c r="O7" s="265"/>
      <c r="P7" s="223"/>
      <c r="Q7" s="224"/>
      <c r="R7" s="293"/>
      <c r="S7" s="224"/>
      <c r="T7" s="293"/>
      <c r="U7" s="265"/>
      <c r="V7" s="223"/>
      <c r="W7" s="224"/>
      <c r="X7" s="293"/>
      <c r="Y7" s="224"/>
      <c r="Z7" s="293"/>
      <c r="AA7" s="265"/>
      <c r="AB7" s="223"/>
      <c r="AC7" s="224"/>
      <c r="AD7" s="293"/>
      <c r="AE7" s="224"/>
      <c r="AF7" s="293"/>
      <c r="AG7" s="265"/>
      <c r="AH7" s="223"/>
      <c r="AI7" s="224"/>
      <c r="AJ7" s="293"/>
      <c r="AK7" s="224"/>
      <c r="AL7" s="293"/>
      <c r="AM7" s="265"/>
      <c r="AN7" s="122"/>
      <c r="AO7" s="312"/>
      <c r="AP7" s="224"/>
      <c r="AQ7" s="224"/>
      <c r="AR7" s="224"/>
      <c r="AS7" s="224"/>
      <c r="AT7" s="313"/>
      <c r="AU7" s="122"/>
      <c r="AV7" s="122"/>
      <c r="AW7" s="122"/>
      <c r="AX7" s="122"/>
      <c r="AY7" s="122"/>
      <c r="AZ7" s="122"/>
      <c r="BA7" s="122"/>
      <c r="BB7" s="122"/>
      <c r="BC7" s="122"/>
      <c r="BD7" s="122"/>
      <c r="BE7" s="122"/>
      <c r="BF7" s="122"/>
      <c r="BG7" s="122"/>
      <c r="BH7" s="122"/>
      <c r="BI7" s="122"/>
    </row>
    <row r="8" spans="1:61" ht="15" customHeight="1">
      <c r="A8" s="122"/>
      <c r="B8" s="293"/>
      <c r="C8" s="224"/>
      <c r="D8" s="265"/>
      <c r="E8" s="223"/>
      <c r="F8" s="224"/>
      <c r="G8" s="224"/>
      <c r="H8" s="224"/>
      <c r="I8" s="265"/>
      <c r="J8" s="294" t="str">
        <f ca="1">IF(AND('Mapa de Riesgos de Corrupción'!$K$13="Muy Alta",'Mapa de Riesgos de Corrupción'!$O$13="Leve"),CONCATENATE("R",'Mapa de Riesgos de Corrupción'!$A$13),"")</f>
        <v/>
      </c>
      <c r="K8" s="295"/>
      <c r="L8" s="291" t="str">
        <f ca="1">IF(AND('Mapa de Riesgos de Corrupción'!$K$16="Muy Alta",'Mapa de Riesgos de Corrupción'!$O$16="Leve"),CONCATENATE("R",'Mapa de Riesgos de Corrupción'!$A$16),"")</f>
        <v/>
      </c>
      <c r="M8" s="295"/>
      <c r="N8" s="291" t="e">
        <f>IF(AND('Mapa de Riesgos de Corrupción'!#REF!="Muy Alta",'Mapa de Riesgos de Corrupción'!#REF!="Leve"),CONCATENATE("R",'Mapa de Riesgos de Corrupción'!#REF!),"")</f>
        <v>#REF!</v>
      </c>
      <c r="O8" s="292"/>
      <c r="P8" s="294" t="str">
        <f ca="1">IF(AND('Mapa de Riesgos de Corrupción'!$K$13="Muy Alta",'Mapa de Riesgos de Corrupción'!$O$13="Menor"),CONCATENATE("R",'Mapa de Riesgos de Corrupción'!$A$13),"")</f>
        <v/>
      </c>
      <c r="Q8" s="295"/>
      <c r="R8" s="291" t="str">
        <f ca="1">IF(AND('Mapa de Riesgos de Corrupción'!$K$16="Muy Alta",'Mapa de Riesgos de Corrupción'!$O$16="Menor"),CONCATENATE("R",'Mapa de Riesgos de Corrupción'!$A$16),"")</f>
        <v/>
      </c>
      <c r="S8" s="295"/>
      <c r="T8" s="291" t="e">
        <f>IF(AND('Mapa de Riesgos de Corrupción'!#REF!="Muy Alta",'Mapa de Riesgos de Corrupción'!#REF!="Menor"),CONCATENATE("R",'Mapa de Riesgos de Corrupción'!#REF!),"")</f>
        <v>#REF!</v>
      </c>
      <c r="U8" s="292"/>
      <c r="V8" s="294" t="str">
        <f ca="1">IF(AND('Mapa de Riesgos de Corrupción'!$K$13="Muy Alta",'Mapa de Riesgos de Corrupción'!$O$13="Moderado"),CONCATENATE("R",'Mapa de Riesgos de Corrupción'!$A$13),"")</f>
        <v/>
      </c>
      <c r="W8" s="295"/>
      <c r="X8" s="291" t="str">
        <f ca="1">IF(AND('Mapa de Riesgos de Corrupción'!$K$16="Muy Alta",'Mapa de Riesgos de Corrupción'!$O$16="Moderado"),CONCATENATE("R",'Mapa de Riesgos de Corrupción'!$A$16),"")</f>
        <v/>
      </c>
      <c r="Y8" s="295"/>
      <c r="Z8" s="291" t="e">
        <f>IF(AND('Mapa de Riesgos de Corrupción'!#REF!="Muy Alta",'Mapa de Riesgos de Corrupción'!#REF!="Moderado"),CONCATENATE("R",'Mapa de Riesgos de Corrupción'!#REF!),"")</f>
        <v>#REF!</v>
      </c>
      <c r="AA8" s="292"/>
      <c r="AB8" s="294" t="str">
        <f ca="1">IF(AND('Mapa de Riesgos de Corrupción'!$K$13="Muy Alta",'Mapa de Riesgos de Corrupción'!$O$13="Mayor"),CONCATENATE("R",'Mapa de Riesgos de Corrupción'!$A$13),"")</f>
        <v/>
      </c>
      <c r="AC8" s="295"/>
      <c r="AD8" s="291" t="str">
        <f ca="1">IF(AND('Mapa de Riesgos de Corrupción'!$K$16="Muy Alta",'Mapa de Riesgos de Corrupción'!$O$16="Mayor"),CONCATENATE("R",'Mapa de Riesgos de Corrupción'!$A$16),"")</f>
        <v/>
      </c>
      <c r="AE8" s="295"/>
      <c r="AF8" s="291" t="e">
        <f>IF(AND('Mapa de Riesgos de Corrupción'!#REF!="Muy Alta",'Mapa de Riesgos de Corrupción'!#REF!="Mayor"),CONCATENATE("R",'Mapa de Riesgos de Corrupción'!#REF!),"")</f>
        <v>#REF!</v>
      </c>
      <c r="AG8" s="292"/>
      <c r="AH8" s="296" t="str">
        <f ca="1">IF(AND('Mapa de Riesgos de Corrupción'!$K$13="Muy Alta",'Mapa de Riesgos de Corrupción'!$O$13="Catastrófico"),CONCATENATE("R",'Mapa de Riesgos de Corrupción'!$A$13),"")</f>
        <v/>
      </c>
      <c r="AI8" s="295"/>
      <c r="AJ8" s="297" t="str">
        <f ca="1">IF(AND('Mapa de Riesgos de Corrupción'!$K$16="Muy Alta",'Mapa de Riesgos de Corrupción'!$O$16="Catastrófico"),CONCATENATE("R",'Mapa de Riesgos de Corrupción'!$A$16),"")</f>
        <v/>
      </c>
      <c r="AK8" s="295"/>
      <c r="AL8" s="297" t="e">
        <f>IF(AND('Mapa de Riesgos de Corrupción'!#REF!="Muy Alta",'Mapa de Riesgos de Corrupción'!#REF!="Catastrófico"),CONCATENATE("R",'Mapa de Riesgos de Corrupción'!#REF!),"")</f>
        <v>#REF!</v>
      </c>
      <c r="AM8" s="292"/>
      <c r="AN8" s="122"/>
      <c r="AO8" s="312"/>
      <c r="AP8" s="224"/>
      <c r="AQ8" s="224"/>
      <c r="AR8" s="224"/>
      <c r="AS8" s="224"/>
      <c r="AT8" s="313"/>
      <c r="AU8" s="122"/>
      <c r="AV8" s="122"/>
      <c r="AW8" s="122"/>
      <c r="AX8" s="122"/>
      <c r="AY8" s="122"/>
      <c r="AZ8" s="122"/>
      <c r="BA8" s="122"/>
      <c r="BB8" s="122"/>
      <c r="BC8" s="122"/>
      <c r="BD8" s="122"/>
      <c r="BE8" s="122"/>
      <c r="BF8" s="122"/>
      <c r="BG8" s="122"/>
      <c r="BH8" s="122"/>
      <c r="BI8" s="122"/>
    </row>
    <row r="9" spans="1:61" ht="15" customHeight="1">
      <c r="A9" s="122"/>
      <c r="B9" s="293"/>
      <c r="C9" s="224"/>
      <c r="D9" s="265"/>
      <c r="E9" s="223"/>
      <c r="F9" s="224"/>
      <c r="G9" s="224"/>
      <c r="H9" s="224"/>
      <c r="I9" s="265"/>
      <c r="J9" s="223"/>
      <c r="K9" s="224"/>
      <c r="L9" s="293"/>
      <c r="M9" s="224"/>
      <c r="N9" s="293"/>
      <c r="O9" s="265"/>
      <c r="P9" s="223"/>
      <c r="Q9" s="224"/>
      <c r="R9" s="293"/>
      <c r="S9" s="224"/>
      <c r="T9" s="293"/>
      <c r="U9" s="265"/>
      <c r="V9" s="223"/>
      <c r="W9" s="224"/>
      <c r="X9" s="293"/>
      <c r="Y9" s="224"/>
      <c r="Z9" s="293"/>
      <c r="AA9" s="265"/>
      <c r="AB9" s="223"/>
      <c r="AC9" s="224"/>
      <c r="AD9" s="293"/>
      <c r="AE9" s="224"/>
      <c r="AF9" s="293"/>
      <c r="AG9" s="265"/>
      <c r="AH9" s="223"/>
      <c r="AI9" s="224"/>
      <c r="AJ9" s="293"/>
      <c r="AK9" s="224"/>
      <c r="AL9" s="293"/>
      <c r="AM9" s="265"/>
      <c r="AN9" s="122"/>
      <c r="AO9" s="312"/>
      <c r="AP9" s="224"/>
      <c r="AQ9" s="224"/>
      <c r="AR9" s="224"/>
      <c r="AS9" s="224"/>
      <c r="AT9" s="313"/>
      <c r="AU9" s="122"/>
      <c r="AV9" s="122"/>
      <c r="AW9" s="122"/>
      <c r="AX9" s="122"/>
      <c r="AY9" s="122"/>
      <c r="AZ9" s="122"/>
      <c r="BA9" s="122"/>
      <c r="BB9" s="122"/>
      <c r="BC9" s="122"/>
      <c r="BD9" s="122"/>
      <c r="BE9" s="122"/>
      <c r="BF9" s="122"/>
      <c r="BG9" s="122"/>
      <c r="BH9" s="122"/>
      <c r="BI9" s="122"/>
    </row>
    <row r="10" spans="1:61" ht="15" customHeight="1">
      <c r="A10" s="122"/>
      <c r="B10" s="293"/>
      <c r="C10" s="224"/>
      <c r="D10" s="265"/>
      <c r="E10" s="223"/>
      <c r="F10" s="224"/>
      <c r="G10" s="224"/>
      <c r="H10" s="224"/>
      <c r="I10" s="265"/>
      <c r="J10" s="294" t="e">
        <f>IF(AND('Mapa de Riesgos de Corrupción'!#REF!="Muy Alta",'Mapa de Riesgos de Corrupción'!#REF!="Leve"),CONCATENATE("R",'Mapa de Riesgos de Corrupción'!#REF!),"")</f>
        <v>#REF!</v>
      </c>
      <c r="K10" s="295"/>
      <c r="L10" s="291" t="e">
        <f>IF(AND('Mapa de Riesgos de Corrupción'!#REF!="Muy Alta",'Mapa de Riesgos de Corrupción'!#REF!="Leve"),CONCATENATE("R",'Mapa de Riesgos de Corrupción'!#REF!),"")</f>
        <v>#REF!</v>
      </c>
      <c r="M10" s="295"/>
      <c r="N10" s="291" t="e">
        <f>IF(AND('Mapa de Riesgos de Corrupción'!#REF!="Muy Alta",'Mapa de Riesgos de Corrupción'!#REF!="Leve"),CONCATENATE("R",'Mapa de Riesgos de Corrupción'!#REF!),"")</f>
        <v>#REF!</v>
      </c>
      <c r="O10" s="292"/>
      <c r="P10" s="294" t="e">
        <f>IF(AND('Mapa de Riesgos de Corrupción'!#REF!="Muy Alta",'Mapa de Riesgos de Corrupción'!#REF!="Menor"),CONCATENATE("R",'Mapa de Riesgos de Corrupción'!#REF!),"")</f>
        <v>#REF!</v>
      </c>
      <c r="Q10" s="295"/>
      <c r="R10" s="291" t="e">
        <f>IF(AND('Mapa de Riesgos de Corrupción'!#REF!="Muy Alta",'Mapa de Riesgos de Corrupción'!#REF!="Menor"),CONCATENATE("R",'Mapa de Riesgos de Corrupción'!#REF!),"")</f>
        <v>#REF!</v>
      </c>
      <c r="S10" s="295"/>
      <c r="T10" s="291" t="e">
        <f>IF(AND('Mapa de Riesgos de Corrupción'!#REF!="Muy Alta",'Mapa de Riesgos de Corrupción'!#REF!="Menor"),CONCATENATE("R",'Mapa de Riesgos de Corrupción'!#REF!),"")</f>
        <v>#REF!</v>
      </c>
      <c r="U10" s="292"/>
      <c r="V10" s="294" t="e">
        <f>IF(AND('Mapa de Riesgos de Corrupción'!#REF!="Muy Alta",'Mapa de Riesgos de Corrupción'!#REF!="Moderado"),CONCATENATE("R",'Mapa de Riesgos de Corrupción'!#REF!),"")</f>
        <v>#REF!</v>
      </c>
      <c r="W10" s="295"/>
      <c r="X10" s="291" t="e">
        <f>IF(AND('Mapa de Riesgos de Corrupción'!#REF!="Muy Alta",'Mapa de Riesgos de Corrupción'!#REF!="Moderado"),CONCATENATE("R",'Mapa de Riesgos de Corrupción'!#REF!),"")</f>
        <v>#REF!</v>
      </c>
      <c r="Y10" s="295"/>
      <c r="Z10" s="291" t="e">
        <f>IF(AND('Mapa de Riesgos de Corrupción'!#REF!="Muy Alta",'Mapa de Riesgos de Corrupción'!#REF!="Moderado"),CONCATENATE("R",'Mapa de Riesgos de Corrupción'!#REF!),"")</f>
        <v>#REF!</v>
      </c>
      <c r="AA10" s="292"/>
      <c r="AB10" s="294" t="e">
        <f>IF(AND('Mapa de Riesgos de Corrupción'!#REF!="Muy Alta",'Mapa de Riesgos de Corrupción'!#REF!="Mayor"),CONCATENATE("R",'Mapa de Riesgos de Corrupción'!#REF!),"")</f>
        <v>#REF!</v>
      </c>
      <c r="AC10" s="295"/>
      <c r="AD10" s="291" t="e">
        <f>IF(AND('Mapa de Riesgos de Corrupción'!#REF!="Muy Alta",'Mapa de Riesgos de Corrupción'!#REF!="Mayor"),CONCATENATE("R",'Mapa de Riesgos de Corrupción'!#REF!),"")</f>
        <v>#REF!</v>
      </c>
      <c r="AE10" s="295"/>
      <c r="AF10" s="291" t="e">
        <f>IF(AND('Mapa de Riesgos de Corrupción'!#REF!="Muy Alta",'Mapa de Riesgos de Corrupción'!#REF!="Mayor"),CONCATENATE("R",'Mapa de Riesgos de Corrupción'!#REF!),"")</f>
        <v>#REF!</v>
      </c>
      <c r="AG10" s="292"/>
      <c r="AH10" s="296" t="e">
        <f>IF(AND('Mapa de Riesgos de Corrupción'!#REF!="Muy Alta",'Mapa de Riesgos de Corrupción'!#REF!="Catastrófico"),CONCATENATE("R",'Mapa de Riesgos de Corrupción'!#REF!),"")</f>
        <v>#REF!</v>
      </c>
      <c r="AI10" s="295"/>
      <c r="AJ10" s="297" t="e">
        <f>IF(AND('Mapa de Riesgos de Corrupción'!#REF!="Muy Alta",'Mapa de Riesgos de Corrupción'!#REF!="Catastrófico"),CONCATENATE("R",'Mapa de Riesgos de Corrupción'!#REF!),"")</f>
        <v>#REF!</v>
      </c>
      <c r="AK10" s="295"/>
      <c r="AL10" s="297" t="e">
        <f>IF(AND('Mapa de Riesgos de Corrupción'!#REF!="Muy Alta",'Mapa de Riesgos de Corrupción'!#REF!="Catastrófico"),CONCATENATE("R",'Mapa de Riesgos de Corrupción'!#REF!),"")</f>
        <v>#REF!</v>
      </c>
      <c r="AM10" s="292"/>
      <c r="AN10" s="122"/>
      <c r="AO10" s="312"/>
      <c r="AP10" s="224"/>
      <c r="AQ10" s="224"/>
      <c r="AR10" s="224"/>
      <c r="AS10" s="224"/>
      <c r="AT10" s="313"/>
      <c r="AU10" s="122"/>
      <c r="AV10" s="122"/>
      <c r="AW10" s="122"/>
      <c r="AX10" s="122"/>
      <c r="AY10" s="122"/>
      <c r="AZ10" s="122"/>
      <c r="BA10" s="122"/>
      <c r="BB10" s="122"/>
      <c r="BC10" s="122"/>
      <c r="BD10" s="122"/>
      <c r="BE10" s="122"/>
      <c r="BF10" s="122"/>
      <c r="BG10" s="122"/>
      <c r="BH10" s="122"/>
      <c r="BI10" s="122"/>
    </row>
    <row r="11" spans="1:61" ht="15" customHeight="1">
      <c r="A11" s="122"/>
      <c r="B11" s="293"/>
      <c r="C11" s="224"/>
      <c r="D11" s="265"/>
      <c r="E11" s="223"/>
      <c r="F11" s="224"/>
      <c r="G11" s="224"/>
      <c r="H11" s="224"/>
      <c r="I11" s="265"/>
      <c r="J11" s="223"/>
      <c r="K11" s="224"/>
      <c r="L11" s="293"/>
      <c r="M11" s="224"/>
      <c r="N11" s="293"/>
      <c r="O11" s="265"/>
      <c r="P11" s="223"/>
      <c r="Q11" s="224"/>
      <c r="R11" s="293"/>
      <c r="S11" s="224"/>
      <c r="T11" s="293"/>
      <c r="U11" s="265"/>
      <c r="V11" s="223"/>
      <c r="W11" s="224"/>
      <c r="X11" s="293"/>
      <c r="Y11" s="224"/>
      <c r="Z11" s="293"/>
      <c r="AA11" s="265"/>
      <c r="AB11" s="223"/>
      <c r="AC11" s="224"/>
      <c r="AD11" s="293"/>
      <c r="AE11" s="224"/>
      <c r="AF11" s="293"/>
      <c r="AG11" s="265"/>
      <c r="AH11" s="223"/>
      <c r="AI11" s="224"/>
      <c r="AJ11" s="293"/>
      <c r="AK11" s="224"/>
      <c r="AL11" s="293"/>
      <c r="AM11" s="265"/>
      <c r="AN11" s="122"/>
      <c r="AO11" s="312"/>
      <c r="AP11" s="224"/>
      <c r="AQ11" s="224"/>
      <c r="AR11" s="224"/>
      <c r="AS11" s="224"/>
      <c r="AT11" s="313"/>
      <c r="AU11" s="122"/>
      <c r="AV11" s="122"/>
      <c r="AW11" s="122"/>
      <c r="AX11" s="122"/>
      <c r="AY11" s="122"/>
      <c r="AZ11" s="122"/>
      <c r="BA11" s="122"/>
      <c r="BB11" s="122"/>
      <c r="BC11" s="122"/>
      <c r="BD11" s="122"/>
      <c r="BE11" s="122"/>
      <c r="BF11" s="122"/>
      <c r="BG11" s="122"/>
      <c r="BH11" s="122"/>
      <c r="BI11" s="122"/>
    </row>
    <row r="12" spans="1:61" ht="15" customHeight="1">
      <c r="A12" s="122"/>
      <c r="B12" s="293"/>
      <c r="C12" s="224"/>
      <c r="D12" s="265"/>
      <c r="E12" s="223"/>
      <c r="F12" s="224"/>
      <c r="G12" s="224"/>
      <c r="H12" s="224"/>
      <c r="I12" s="265"/>
      <c r="J12" s="294" t="e">
        <f>IF(AND('Mapa de Riesgos de Corrupción'!#REF!="Muy Alta",'Mapa de Riesgos de Corrupción'!#REF!="Leve"),CONCATENATE("R",'Mapa de Riesgos de Corrupción'!#REF!),"")</f>
        <v>#REF!</v>
      </c>
      <c r="K12" s="295"/>
      <c r="L12" s="291" t="e">
        <f>IF(AND('Mapa de Riesgos de Corrupción'!#REF!="Muy Alta",'Mapa de Riesgos de Corrupción'!#REF!="Leve"),CONCATENATE("R",'Mapa de Riesgos de Corrupción'!#REF!),"")</f>
        <v>#REF!</v>
      </c>
      <c r="M12" s="295"/>
      <c r="N12" s="291" t="e">
        <f>IF(AND('Mapa de Riesgos de Corrupción'!#REF!="Muy Alta",'Mapa de Riesgos de Corrupción'!#REF!="Leve"),CONCATENATE("R",'Mapa de Riesgos de Corrupción'!#REF!),"")</f>
        <v>#REF!</v>
      </c>
      <c r="O12" s="292"/>
      <c r="P12" s="294" t="e">
        <f>IF(AND('Mapa de Riesgos de Corrupción'!#REF!="Muy Alta",'Mapa de Riesgos de Corrupción'!#REF!="Menor"),CONCATENATE("R",'Mapa de Riesgos de Corrupción'!#REF!),"")</f>
        <v>#REF!</v>
      </c>
      <c r="Q12" s="295"/>
      <c r="R12" s="291" t="e">
        <f>IF(AND('Mapa de Riesgos de Corrupción'!#REF!="Muy Alta",'Mapa de Riesgos de Corrupción'!#REF!="Menor"),CONCATENATE("R",'Mapa de Riesgos de Corrupción'!#REF!),"")</f>
        <v>#REF!</v>
      </c>
      <c r="S12" s="295"/>
      <c r="T12" s="291" t="e">
        <f>IF(AND('Mapa de Riesgos de Corrupción'!#REF!="Muy Alta",'Mapa de Riesgos de Corrupción'!#REF!="Menor"),CONCATENATE("R",'Mapa de Riesgos de Corrupción'!#REF!),"")</f>
        <v>#REF!</v>
      </c>
      <c r="U12" s="292"/>
      <c r="V12" s="294" t="e">
        <f>IF(AND('Mapa de Riesgos de Corrupción'!#REF!="Muy Alta",'Mapa de Riesgos de Corrupción'!#REF!="Moderado"),CONCATENATE("R",'Mapa de Riesgos de Corrupción'!#REF!),"")</f>
        <v>#REF!</v>
      </c>
      <c r="W12" s="295"/>
      <c r="X12" s="291" t="e">
        <f>IF(AND('Mapa de Riesgos de Corrupción'!#REF!="Muy Alta",'Mapa de Riesgos de Corrupción'!#REF!="Moderado"),CONCATENATE("R",'Mapa de Riesgos de Corrupción'!#REF!),"")</f>
        <v>#REF!</v>
      </c>
      <c r="Y12" s="295"/>
      <c r="Z12" s="291" t="e">
        <f>IF(AND('Mapa de Riesgos de Corrupción'!#REF!="Muy Alta",'Mapa de Riesgos de Corrupción'!#REF!="Moderado"),CONCATENATE("R",'Mapa de Riesgos de Corrupción'!#REF!),"")</f>
        <v>#REF!</v>
      </c>
      <c r="AA12" s="292"/>
      <c r="AB12" s="294" t="e">
        <f>IF(AND('Mapa de Riesgos de Corrupción'!#REF!="Muy Alta",'Mapa de Riesgos de Corrupción'!#REF!="Mayor"),CONCATENATE("R",'Mapa de Riesgos de Corrupción'!#REF!),"")</f>
        <v>#REF!</v>
      </c>
      <c r="AC12" s="295"/>
      <c r="AD12" s="291" t="e">
        <f>IF(AND('Mapa de Riesgos de Corrupción'!#REF!="Muy Alta",'Mapa de Riesgos de Corrupción'!#REF!="Mayor"),CONCATENATE("R",'Mapa de Riesgos de Corrupción'!#REF!),"")</f>
        <v>#REF!</v>
      </c>
      <c r="AE12" s="295"/>
      <c r="AF12" s="291" t="e">
        <f>IF(AND('Mapa de Riesgos de Corrupción'!#REF!="Muy Alta",'Mapa de Riesgos de Corrupción'!#REF!="Mayor"),CONCATENATE("R",'Mapa de Riesgos de Corrupción'!#REF!),"")</f>
        <v>#REF!</v>
      </c>
      <c r="AG12" s="292"/>
      <c r="AH12" s="296" t="e">
        <f>IF(AND('Mapa de Riesgos de Corrupción'!#REF!="Muy Alta",'Mapa de Riesgos de Corrupción'!#REF!="Catastrófico"),CONCATENATE("R",'Mapa de Riesgos de Corrupción'!#REF!),"")</f>
        <v>#REF!</v>
      </c>
      <c r="AI12" s="295"/>
      <c r="AJ12" s="297" t="e">
        <f>IF(AND('Mapa de Riesgos de Corrupción'!#REF!="Muy Alta",'Mapa de Riesgos de Corrupción'!#REF!="Catastrófico"),CONCATENATE("R",'Mapa de Riesgos de Corrupción'!#REF!),"")</f>
        <v>#REF!</v>
      </c>
      <c r="AK12" s="295"/>
      <c r="AL12" s="297" t="e">
        <f>IF(AND('Mapa de Riesgos de Corrupción'!#REF!="Muy Alta",'Mapa de Riesgos de Corrupción'!#REF!="Catastrófico"),CONCATENATE("R",'Mapa de Riesgos de Corrupción'!#REF!),"")</f>
        <v>#REF!</v>
      </c>
      <c r="AM12" s="292"/>
      <c r="AN12" s="122"/>
      <c r="AO12" s="312"/>
      <c r="AP12" s="224"/>
      <c r="AQ12" s="224"/>
      <c r="AR12" s="224"/>
      <c r="AS12" s="224"/>
      <c r="AT12" s="313"/>
      <c r="AU12" s="122"/>
      <c r="AV12" s="122"/>
      <c r="AW12" s="122"/>
      <c r="AX12" s="122"/>
      <c r="AY12" s="122"/>
      <c r="AZ12" s="122"/>
      <c r="BA12" s="122"/>
      <c r="BB12" s="122"/>
      <c r="BC12" s="122"/>
      <c r="BD12" s="122"/>
      <c r="BE12" s="122"/>
      <c r="BF12" s="122"/>
      <c r="BG12" s="122"/>
      <c r="BH12" s="122"/>
      <c r="BI12" s="122"/>
    </row>
    <row r="13" spans="1:61" ht="15.75" customHeight="1">
      <c r="A13" s="122"/>
      <c r="B13" s="293"/>
      <c r="C13" s="224"/>
      <c r="D13" s="265"/>
      <c r="E13" s="225"/>
      <c r="F13" s="226"/>
      <c r="G13" s="226"/>
      <c r="H13" s="226"/>
      <c r="I13" s="301"/>
      <c r="J13" s="223"/>
      <c r="K13" s="224"/>
      <c r="L13" s="293"/>
      <c r="M13" s="224"/>
      <c r="N13" s="293"/>
      <c r="O13" s="265"/>
      <c r="P13" s="223"/>
      <c r="Q13" s="224"/>
      <c r="R13" s="293"/>
      <c r="S13" s="224"/>
      <c r="T13" s="293"/>
      <c r="U13" s="265"/>
      <c r="V13" s="223"/>
      <c r="W13" s="224"/>
      <c r="X13" s="293"/>
      <c r="Y13" s="224"/>
      <c r="Z13" s="293"/>
      <c r="AA13" s="265"/>
      <c r="AB13" s="223"/>
      <c r="AC13" s="224"/>
      <c r="AD13" s="293"/>
      <c r="AE13" s="224"/>
      <c r="AF13" s="293"/>
      <c r="AG13" s="265"/>
      <c r="AH13" s="225"/>
      <c r="AI13" s="226"/>
      <c r="AJ13" s="300"/>
      <c r="AK13" s="226"/>
      <c r="AL13" s="300"/>
      <c r="AM13" s="301"/>
      <c r="AN13" s="122"/>
      <c r="AO13" s="314"/>
      <c r="AP13" s="315"/>
      <c r="AQ13" s="315"/>
      <c r="AR13" s="315"/>
      <c r="AS13" s="315"/>
      <c r="AT13" s="316"/>
      <c r="AU13" s="122"/>
      <c r="AV13" s="122"/>
      <c r="AW13" s="122"/>
      <c r="AX13" s="122"/>
      <c r="AY13" s="122"/>
      <c r="AZ13" s="122"/>
      <c r="BA13" s="122"/>
      <c r="BB13" s="122"/>
      <c r="BC13" s="122"/>
      <c r="BD13" s="122"/>
      <c r="BE13" s="122"/>
      <c r="BF13" s="122"/>
      <c r="BG13" s="122"/>
      <c r="BH13" s="122"/>
      <c r="BI13" s="122"/>
    </row>
    <row r="14" spans="1:61" ht="15" customHeight="1">
      <c r="A14" s="122"/>
      <c r="B14" s="293"/>
      <c r="C14" s="224"/>
      <c r="D14" s="265"/>
      <c r="E14" s="321" t="s">
        <v>502</v>
      </c>
      <c r="F14" s="222"/>
      <c r="G14" s="222"/>
      <c r="H14" s="222"/>
      <c r="I14" s="222"/>
      <c r="J14" s="304" t="e">
        <f>IF(AND('Mapa de Riesgos de Corrupción'!#REF!="Alta",'Mapa de Riesgos de Corrupción'!#REF!="Leve"),CONCATENATE("R",'Mapa de Riesgos de Corrupción'!#REF!),"")</f>
        <v>#REF!</v>
      </c>
      <c r="K14" s="222"/>
      <c r="L14" s="302" t="e">
        <f>IF(AND('Mapa de Riesgos de Corrupción'!#REF!="Alta",'Mapa de Riesgos de Corrupción'!#REF!="Leve"),CONCATENATE("R",'Mapa de Riesgos de Corrupción'!#REF!),"")</f>
        <v>#REF!</v>
      </c>
      <c r="M14" s="222"/>
      <c r="N14" s="302" t="e">
        <f>IF(AND('Mapa de Riesgos de Corrupción'!#REF!="Alta",'Mapa de Riesgos de Corrupción'!#REF!="Leve"),CONCATENATE("R",'Mapa de Riesgos de Corrupción'!#REF!),"")</f>
        <v>#REF!</v>
      </c>
      <c r="O14" s="303"/>
      <c r="P14" s="304" t="e">
        <f>IF(AND('Mapa de Riesgos de Corrupción'!#REF!="Alta",'Mapa de Riesgos de Corrupción'!#REF!="Menor"),CONCATENATE("R",'Mapa de Riesgos de Corrupción'!#REF!),"")</f>
        <v>#REF!</v>
      </c>
      <c r="Q14" s="222"/>
      <c r="R14" s="302" t="e">
        <f>IF(AND('Mapa de Riesgos de Corrupción'!#REF!="Alta",'Mapa de Riesgos de Corrupción'!#REF!="Menor"),CONCATENATE("R",'Mapa de Riesgos de Corrupción'!#REF!),"")</f>
        <v>#REF!</v>
      </c>
      <c r="S14" s="222"/>
      <c r="T14" s="302" t="e">
        <f>IF(AND('Mapa de Riesgos de Corrupción'!#REF!="Alta",'Mapa de Riesgos de Corrupción'!#REF!="Menor"),CONCATENATE("R",'Mapa de Riesgos de Corrupción'!#REF!),"")</f>
        <v>#REF!</v>
      </c>
      <c r="U14" s="303"/>
      <c r="V14" s="298" t="e">
        <f>IF(AND('Mapa de Riesgos de Corrupción'!#REF!="Alta",'Mapa de Riesgos de Corrupción'!#REF!="Moderado"),CONCATENATE("R",'Mapa de Riesgos de Corrupción'!#REF!),"")</f>
        <v>#REF!</v>
      </c>
      <c r="W14" s="222"/>
      <c r="X14" s="299" t="e">
        <f>IF(AND('Mapa de Riesgos de Corrupción'!#REF!="Alta",'Mapa de Riesgos de Corrupción'!#REF!="Moderado"),CONCATENATE("R",'Mapa de Riesgos de Corrupción'!#REF!),"")</f>
        <v>#REF!</v>
      </c>
      <c r="Y14" s="222"/>
      <c r="Z14" s="299" t="e">
        <f>IF(AND('Mapa de Riesgos de Corrupción'!#REF!="Alta",'Mapa de Riesgos de Corrupción'!#REF!="Moderado"),CONCATENATE("R",'Mapa de Riesgos de Corrupción'!#REF!),"")</f>
        <v>#REF!</v>
      </c>
      <c r="AA14" s="303"/>
      <c r="AB14" s="298" t="e">
        <f>IF(AND('Mapa de Riesgos de Corrupción'!#REF!="Alta",'Mapa de Riesgos de Corrupción'!#REF!="Mayor"),CONCATENATE("R",'Mapa de Riesgos de Corrupción'!#REF!),"")</f>
        <v>#REF!</v>
      </c>
      <c r="AC14" s="222"/>
      <c r="AD14" s="299" t="e">
        <f>IF(AND('Mapa de Riesgos de Corrupción'!#REF!="Alta",'Mapa de Riesgos de Corrupción'!#REF!="Mayor"),CONCATENATE("R",'Mapa de Riesgos de Corrupción'!#REF!),"")</f>
        <v>#REF!</v>
      </c>
      <c r="AE14" s="222"/>
      <c r="AF14" s="299" t="e">
        <f>IF(AND('Mapa de Riesgos de Corrupción'!#REF!="Alta",'Mapa de Riesgos de Corrupción'!#REF!="Mayor"),CONCATENATE("R",'Mapa de Riesgos de Corrupción'!#REF!),"")</f>
        <v>#REF!</v>
      </c>
      <c r="AG14" s="303"/>
      <c r="AH14" s="305" t="e">
        <f>IF(AND('Mapa de Riesgos de Corrupción'!#REF!="Alta",'Mapa de Riesgos de Corrupción'!#REF!="Catastrófico"),CONCATENATE("R",'Mapa de Riesgos de Corrupción'!#REF!),"")</f>
        <v>#REF!</v>
      </c>
      <c r="AI14" s="222"/>
      <c r="AJ14" s="306" t="e">
        <f>IF(AND('Mapa de Riesgos de Corrupción'!#REF!="Alta",'Mapa de Riesgos de Corrupción'!#REF!="Catastrófico"),CONCATENATE("R",'Mapa de Riesgos de Corrupción'!#REF!),"")</f>
        <v>#REF!</v>
      </c>
      <c r="AK14" s="222"/>
      <c r="AL14" s="306" t="e">
        <f>IF(AND('Mapa de Riesgos de Corrupción'!#REF!="Alta",'Mapa de Riesgos de Corrupción'!#REF!="Catastrófico"),CONCATENATE("R",'Mapa de Riesgos de Corrupción'!#REF!),"")</f>
        <v>#REF!</v>
      </c>
      <c r="AM14" s="303"/>
      <c r="AN14" s="122"/>
      <c r="AO14" s="318" t="s">
        <v>503</v>
      </c>
      <c r="AP14" s="310"/>
      <c r="AQ14" s="310"/>
      <c r="AR14" s="310"/>
      <c r="AS14" s="310"/>
      <c r="AT14" s="311"/>
      <c r="AU14" s="122"/>
      <c r="AV14" s="122"/>
      <c r="AW14" s="122"/>
      <c r="AX14" s="122"/>
      <c r="AY14" s="122"/>
      <c r="AZ14" s="122"/>
      <c r="BA14" s="122"/>
      <c r="BB14" s="122"/>
      <c r="BC14" s="122"/>
      <c r="BD14" s="122"/>
      <c r="BE14" s="122"/>
      <c r="BF14" s="122"/>
      <c r="BG14" s="122"/>
      <c r="BH14" s="122"/>
      <c r="BI14" s="122"/>
    </row>
    <row r="15" spans="1:61" ht="15" customHeight="1">
      <c r="A15" s="122"/>
      <c r="B15" s="293"/>
      <c r="C15" s="224"/>
      <c r="D15" s="265"/>
      <c r="E15" s="223"/>
      <c r="F15" s="224"/>
      <c r="G15" s="224"/>
      <c r="H15" s="224"/>
      <c r="I15" s="224"/>
      <c r="J15" s="223"/>
      <c r="K15" s="224"/>
      <c r="L15" s="293"/>
      <c r="M15" s="224"/>
      <c r="N15" s="293"/>
      <c r="O15" s="265"/>
      <c r="P15" s="223"/>
      <c r="Q15" s="224"/>
      <c r="R15" s="293"/>
      <c r="S15" s="224"/>
      <c r="T15" s="293"/>
      <c r="U15" s="265"/>
      <c r="V15" s="223"/>
      <c r="W15" s="224"/>
      <c r="X15" s="293"/>
      <c r="Y15" s="224"/>
      <c r="Z15" s="293"/>
      <c r="AA15" s="265"/>
      <c r="AB15" s="223"/>
      <c r="AC15" s="224"/>
      <c r="AD15" s="293"/>
      <c r="AE15" s="224"/>
      <c r="AF15" s="293"/>
      <c r="AG15" s="265"/>
      <c r="AH15" s="223"/>
      <c r="AI15" s="224"/>
      <c r="AJ15" s="293"/>
      <c r="AK15" s="224"/>
      <c r="AL15" s="293"/>
      <c r="AM15" s="265"/>
      <c r="AN15" s="122"/>
      <c r="AO15" s="312"/>
      <c r="AP15" s="224"/>
      <c r="AQ15" s="224"/>
      <c r="AR15" s="224"/>
      <c r="AS15" s="224"/>
      <c r="AT15" s="313"/>
      <c r="AU15" s="122"/>
      <c r="AV15" s="122"/>
      <c r="AW15" s="122"/>
      <c r="AX15" s="122"/>
      <c r="AY15" s="122"/>
      <c r="AZ15" s="122"/>
      <c r="BA15" s="122"/>
      <c r="BB15" s="122"/>
      <c r="BC15" s="122"/>
      <c r="BD15" s="122"/>
      <c r="BE15" s="122"/>
      <c r="BF15" s="122"/>
      <c r="BG15" s="122"/>
      <c r="BH15" s="122"/>
      <c r="BI15" s="122"/>
    </row>
    <row r="16" spans="1:61" ht="15" customHeight="1">
      <c r="A16" s="122"/>
      <c r="B16" s="293"/>
      <c r="C16" s="224"/>
      <c r="D16" s="265"/>
      <c r="E16" s="223"/>
      <c r="F16" s="224"/>
      <c r="G16" s="224"/>
      <c r="H16" s="224"/>
      <c r="I16" s="224"/>
      <c r="J16" s="308" t="str">
        <f ca="1">IF(AND('Mapa de Riesgos de Corrupción'!$K$13="Alta",'Mapa de Riesgos de Corrupción'!$O$13="Leve"),CONCATENATE("R",'Mapa de Riesgos de Corrupción'!$A$13),"")</f>
        <v/>
      </c>
      <c r="K16" s="295"/>
      <c r="L16" s="307" t="str">
        <f ca="1">IF(AND('Mapa de Riesgos de Corrupción'!$K$16="Alta",'Mapa de Riesgos de Corrupción'!$O$16="Leve"),CONCATENATE("R",'Mapa de Riesgos de Corrupción'!$A$16),"")</f>
        <v/>
      </c>
      <c r="M16" s="295"/>
      <c r="N16" s="307" t="e">
        <f>IF(AND('Mapa de Riesgos de Corrupción'!#REF!="Alta",'Mapa de Riesgos de Corrupción'!#REF!="Leve"),CONCATENATE("R",'Mapa de Riesgos de Corrupción'!#REF!),"")</f>
        <v>#REF!</v>
      </c>
      <c r="O16" s="292"/>
      <c r="P16" s="308" t="str">
        <f ca="1">IF(AND('Mapa de Riesgos de Corrupción'!$K$13="Alta",'Mapa de Riesgos de Corrupción'!$O$13="Menor"),CONCATENATE("R",'Mapa de Riesgos de Corrupción'!$A$13),"")</f>
        <v/>
      </c>
      <c r="Q16" s="295"/>
      <c r="R16" s="307" t="str">
        <f ca="1">IF(AND('Mapa de Riesgos de Corrupción'!$K$16="Alta",'Mapa de Riesgos de Corrupción'!$O$16="Menor"),CONCATENATE("R",'Mapa de Riesgos de Corrupción'!$A$16),"")</f>
        <v/>
      </c>
      <c r="S16" s="295"/>
      <c r="T16" s="307" t="e">
        <f>IF(AND('Mapa de Riesgos de Corrupción'!#REF!="Alta",'Mapa de Riesgos de Corrupción'!#REF!="Menor"),CONCATENATE("R",'Mapa de Riesgos de Corrupción'!#REF!),"")</f>
        <v>#REF!</v>
      </c>
      <c r="U16" s="292"/>
      <c r="V16" s="294" t="str">
        <f ca="1">IF(AND('Mapa de Riesgos de Corrupción'!$K$13="Alta",'Mapa de Riesgos de Corrupción'!$O$13="Moderado"),CONCATENATE("R",'Mapa de Riesgos de Corrupción'!$A$13),"")</f>
        <v/>
      </c>
      <c r="W16" s="295"/>
      <c r="X16" s="291" t="str">
        <f ca="1">IF(AND('Mapa de Riesgos de Corrupción'!$K$16="Alta",'Mapa de Riesgos de Corrupción'!$O$16="Moderado"),CONCATENATE("R",'Mapa de Riesgos de Corrupción'!$A$16),"")</f>
        <v/>
      </c>
      <c r="Y16" s="295"/>
      <c r="Z16" s="291" t="e">
        <f>IF(AND('Mapa de Riesgos de Corrupción'!#REF!="Alta",'Mapa de Riesgos de Corrupción'!#REF!="Moderado"),CONCATENATE("R",'Mapa de Riesgos de Corrupción'!#REF!),"")</f>
        <v>#REF!</v>
      </c>
      <c r="AA16" s="292"/>
      <c r="AB16" s="294" t="str">
        <f ca="1">IF(AND('Mapa de Riesgos de Corrupción'!$K$13="Alta",'Mapa de Riesgos de Corrupción'!$O$13="Mayor"),CONCATENATE("R",'Mapa de Riesgos de Corrupción'!$A$13),"")</f>
        <v/>
      </c>
      <c r="AC16" s="295"/>
      <c r="AD16" s="291" t="str">
        <f ca="1">IF(AND('Mapa de Riesgos de Corrupción'!$K$16="Alta",'Mapa de Riesgos de Corrupción'!$O$16="Mayor"),CONCATENATE("R",'Mapa de Riesgos de Corrupción'!$A$16),"")</f>
        <v>RRC9</v>
      </c>
      <c r="AE16" s="295"/>
      <c r="AF16" s="291" t="e">
        <f>IF(AND('Mapa de Riesgos de Corrupción'!#REF!="Alta",'Mapa de Riesgos de Corrupción'!#REF!="Mayor"),CONCATENATE("R",'Mapa de Riesgos de Corrupción'!#REF!),"")</f>
        <v>#REF!</v>
      </c>
      <c r="AG16" s="292"/>
      <c r="AH16" s="296" t="str">
        <f ca="1">IF(AND('Mapa de Riesgos de Corrupción'!$K$13="Alta",'Mapa de Riesgos de Corrupción'!$O$13="Catastrófico"),CONCATENATE("R",'Mapa de Riesgos de Corrupción'!$A$13),"")</f>
        <v/>
      </c>
      <c r="AI16" s="295"/>
      <c r="AJ16" s="297" t="str">
        <f ca="1">IF(AND('Mapa de Riesgos de Corrupción'!$K$16="Alta",'Mapa de Riesgos de Corrupción'!$O$16="Catastrófico"),CONCATENATE("R",'Mapa de Riesgos de Corrupción'!$A$16),"")</f>
        <v/>
      </c>
      <c r="AK16" s="295"/>
      <c r="AL16" s="297" t="e">
        <f>IF(AND('Mapa de Riesgos de Corrupción'!#REF!="Alta",'Mapa de Riesgos de Corrupción'!#REF!="Catastrófico"),CONCATENATE("R",'Mapa de Riesgos de Corrupción'!#REF!),"")</f>
        <v>#REF!</v>
      </c>
      <c r="AM16" s="292"/>
      <c r="AN16" s="122"/>
      <c r="AO16" s="312"/>
      <c r="AP16" s="224"/>
      <c r="AQ16" s="224"/>
      <c r="AR16" s="224"/>
      <c r="AS16" s="224"/>
      <c r="AT16" s="313"/>
      <c r="AU16" s="122"/>
      <c r="AV16" s="122"/>
      <c r="AW16" s="122"/>
      <c r="AX16" s="122"/>
      <c r="AY16" s="122"/>
      <c r="AZ16" s="122"/>
      <c r="BA16" s="122"/>
      <c r="BB16" s="122"/>
      <c r="BC16" s="122"/>
      <c r="BD16" s="122"/>
      <c r="BE16" s="122"/>
      <c r="BF16" s="122"/>
      <c r="BG16" s="122"/>
      <c r="BH16" s="122"/>
      <c r="BI16" s="122"/>
    </row>
    <row r="17" spans="1:61" ht="15" customHeight="1">
      <c r="A17" s="122"/>
      <c r="B17" s="293"/>
      <c r="C17" s="224"/>
      <c r="D17" s="265"/>
      <c r="E17" s="223"/>
      <c r="F17" s="224"/>
      <c r="G17" s="224"/>
      <c r="H17" s="224"/>
      <c r="I17" s="224"/>
      <c r="J17" s="223"/>
      <c r="K17" s="224"/>
      <c r="L17" s="293"/>
      <c r="M17" s="224"/>
      <c r="N17" s="293"/>
      <c r="O17" s="265"/>
      <c r="P17" s="223"/>
      <c r="Q17" s="224"/>
      <c r="R17" s="293"/>
      <c r="S17" s="224"/>
      <c r="T17" s="293"/>
      <c r="U17" s="265"/>
      <c r="V17" s="223"/>
      <c r="W17" s="224"/>
      <c r="X17" s="293"/>
      <c r="Y17" s="224"/>
      <c r="Z17" s="293"/>
      <c r="AA17" s="265"/>
      <c r="AB17" s="223"/>
      <c r="AC17" s="224"/>
      <c r="AD17" s="293"/>
      <c r="AE17" s="224"/>
      <c r="AF17" s="293"/>
      <c r="AG17" s="265"/>
      <c r="AH17" s="223"/>
      <c r="AI17" s="224"/>
      <c r="AJ17" s="293"/>
      <c r="AK17" s="224"/>
      <c r="AL17" s="293"/>
      <c r="AM17" s="265"/>
      <c r="AN17" s="122"/>
      <c r="AO17" s="312"/>
      <c r="AP17" s="224"/>
      <c r="AQ17" s="224"/>
      <c r="AR17" s="224"/>
      <c r="AS17" s="224"/>
      <c r="AT17" s="313"/>
      <c r="AU17" s="122"/>
      <c r="AV17" s="122"/>
      <c r="AW17" s="122"/>
      <c r="AX17" s="122"/>
      <c r="AY17" s="122"/>
      <c r="AZ17" s="122"/>
      <c r="BA17" s="122"/>
      <c r="BB17" s="122"/>
      <c r="BC17" s="122"/>
      <c r="BD17" s="122"/>
      <c r="BE17" s="122"/>
      <c r="BF17" s="122"/>
      <c r="BG17" s="122"/>
      <c r="BH17" s="122"/>
      <c r="BI17" s="122"/>
    </row>
    <row r="18" spans="1:61" ht="15" customHeight="1">
      <c r="A18" s="122"/>
      <c r="B18" s="293"/>
      <c r="C18" s="224"/>
      <c r="D18" s="265"/>
      <c r="E18" s="223"/>
      <c r="F18" s="224"/>
      <c r="G18" s="224"/>
      <c r="H18" s="224"/>
      <c r="I18" s="224"/>
      <c r="J18" s="308" t="e">
        <f>IF(AND('Mapa de Riesgos de Corrupción'!#REF!="Alta",'Mapa de Riesgos de Corrupción'!#REF!="Leve"),CONCATENATE("R",'Mapa de Riesgos de Corrupción'!#REF!),"")</f>
        <v>#REF!</v>
      </c>
      <c r="K18" s="295"/>
      <c r="L18" s="307" t="e">
        <f>IF(AND('Mapa de Riesgos de Corrupción'!#REF!="Alta",'Mapa de Riesgos de Corrupción'!#REF!="Leve"),CONCATENATE("R",'Mapa de Riesgos de Corrupción'!#REF!),"")</f>
        <v>#REF!</v>
      </c>
      <c r="M18" s="295"/>
      <c r="N18" s="307" t="e">
        <f>IF(AND('Mapa de Riesgos de Corrupción'!#REF!="Alta",'Mapa de Riesgos de Corrupción'!#REF!="Leve"),CONCATENATE("R",'Mapa de Riesgos de Corrupción'!#REF!),"")</f>
        <v>#REF!</v>
      </c>
      <c r="O18" s="292"/>
      <c r="P18" s="308" t="e">
        <f>IF(AND('Mapa de Riesgos de Corrupción'!#REF!="Alta",'Mapa de Riesgos de Corrupción'!#REF!="Menor"),CONCATENATE("R",'Mapa de Riesgos de Corrupción'!#REF!),"")</f>
        <v>#REF!</v>
      </c>
      <c r="Q18" s="295"/>
      <c r="R18" s="307" t="e">
        <f>IF(AND('Mapa de Riesgos de Corrupción'!#REF!="Alta",'Mapa de Riesgos de Corrupción'!#REF!="Menor"),CONCATENATE("R",'Mapa de Riesgos de Corrupción'!#REF!),"")</f>
        <v>#REF!</v>
      </c>
      <c r="S18" s="295"/>
      <c r="T18" s="307" t="e">
        <f>IF(AND('Mapa de Riesgos de Corrupción'!#REF!="Alta",'Mapa de Riesgos de Corrupción'!#REF!="Menor"),CONCATENATE("R",'Mapa de Riesgos de Corrupción'!#REF!),"")</f>
        <v>#REF!</v>
      </c>
      <c r="U18" s="292"/>
      <c r="V18" s="294" t="e">
        <f>IF(AND('Mapa de Riesgos de Corrupción'!#REF!="Alta",'Mapa de Riesgos de Corrupción'!#REF!="Moderado"),CONCATENATE("R",'Mapa de Riesgos de Corrupción'!#REF!),"")</f>
        <v>#REF!</v>
      </c>
      <c r="W18" s="295"/>
      <c r="X18" s="291" t="e">
        <f>IF(AND('Mapa de Riesgos de Corrupción'!#REF!="Alta",'Mapa de Riesgos de Corrupción'!#REF!="Moderado"),CONCATENATE("R",'Mapa de Riesgos de Corrupción'!#REF!),"")</f>
        <v>#REF!</v>
      </c>
      <c r="Y18" s="295"/>
      <c r="Z18" s="291" t="e">
        <f>IF(AND('Mapa de Riesgos de Corrupción'!#REF!="Alta",'Mapa de Riesgos de Corrupción'!#REF!="Moderado"),CONCATENATE("R",'Mapa de Riesgos de Corrupción'!#REF!),"")</f>
        <v>#REF!</v>
      </c>
      <c r="AA18" s="292"/>
      <c r="AB18" s="294" t="e">
        <f>IF(AND('Mapa de Riesgos de Corrupción'!#REF!="Alta",'Mapa de Riesgos de Corrupción'!#REF!="Mayor"),CONCATENATE("R",'Mapa de Riesgos de Corrupción'!#REF!),"")</f>
        <v>#REF!</v>
      </c>
      <c r="AC18" s="295"/>
      <c r="AD18" s="291" t="e">
        <f>IF(AND('Mapa de Riesgos de Corrupción'!#REF!="Alta",'Mapa de Riesgos de Corrupción'!#REF!="Mayor"),CONCATENATE("R",'Mapa de Riesgos de Corrupción'!#REF!),"")</f>
        <v>#REF!</v>
      </c>
      <c r="AE18" s="295"/>
      <c r="AF18" s="291" t="e">
        <f>IF(AND('Mapa de Riesgos de Corrupción'!#REF!="Alta",'Mapa de Riesgos de Corrupción'!#REF!="Mayor"),CONCATENATE("R",'Mapa de Riesgos de Corrupción'!#REF!),"")</f>
        <v>#REF!</v>
      </c>
      <c r="AG18" s="292"/>
      <c r="AH18" s="296" t="e">
        <f>IF(AND('Mapa de Riesgos de Corrupción'!#REF!="Alta",'Mapa de Riesgos de Corrupción'!#REF!="Catastrófico"),CONCATENATE("R",'Mapa de Riesgos de Corrupción'!#REF!),"")</f>
        <v>#REF!</v>
      </c>
      <c r="AI18" s="295"/>
      <c r="AJ18" s="297" t="e">
        <f>IF(AND('Mapa de Riesgos de Corrupción'!#REF!="Alta",'Mapa de Riesgos de Corrupción'!#REF!="Catastrófico"),CONCATENATE("R",'Mapa de Riesgos de Corrupción'!#REF!),"")</f>
        <v>#REF!</v>
      </c>
      <c r="AK18" s="295"/>
      <c r="AL18" s="297" t="e">
        <f>IF(AND('Mapa de Riesgos de Corrupción'!#REF!="Alta",'Mapa de Riesgos de Corrupción'!#REF!="Catastrófico"),CONCATENATE("R",'Mapa de Riesgos de Corrupción'!#REF!),"")</f>
        <v>#REF!</v>
      </c>
      <c r="AM18" s="292"/>
      <c r="AN18" s="122"/>
      <c r="AO18" s="312"/>
      <c r="AP18" s="224"/>
      <c r="AQ18" s="224"/>
      <c r="AR18" s="224"/>
      <c r="AS18" s="224"/>
      <c r="AT18" s="313"/>
      <c r="AU18" s="122"/>
      <c r="AV18" s="122"/>
      <c r="AW18" s="122"/>
      <c r="AX18" s="122"/>
      <c r="AY18" s="122"/>
      <c r="AZ18" s="122"/>
      <c r="BA18" s="122"/>
      <c r="BB18" s="122"/>
      <c r="BC18" s="122"/>
      <c r="BD18" s="122"/>
      <c r="BE18" s="122"/>
      <c r="BF18" s="122"/>
      <c r="BG18" s="122"/>
      <c r="BH18" s="122"/>
      <c r="BI18" s="122"/>
    </row>
    <row r="19" spans="1:61" ht="15" customHeight="1">
      <c r="A19" s="122"/>
      <c r="B19" s="293"/>
      <c r="C19" s="224"/>
      <c r="D19" s="265"/>
      <c r="E19" s="223"/>
      <c r="F19" s="224"/>
      <c r="G19" s="224"/>
      <c r="H19" s="224"/>
      <c r="I19" s="224"/>
      <c r="J19" s="223"/>
      <c r="K19" s="224"/>
      <c r="L19" s="293"/>
      <c r="M19" s="224"/>
      <c r="N19" s="293"/>
      <c r="O19" s="265"/>
      <c r="P19" s="223"/>
      <c r="Q19" s="224"/>
      <c r="R19" s="293"/>
      <c r="S19" s="224"/>
      <c r="T19" s="293"/>
      <c r="U19" s="265"/>
      <c r="V19" s="223"/>
      <c r="W19" s="224"/>
      <c r="X19" s="293"/>
      <c r="Y19" s="224"/>
      <c r="Z19" s="293"/>
      <c r="AA19" s="265"/>
      <c r="AB19" s="223"/>
      <c r="AC19" s="224"/>
      <c r="AD19" s="293"/>
      <c r="AE19" s="224"/>
      <c r="AF19" s="293"/>
      <c r="AG19" s="265"/>
      <c r="AH19" s="223"/>
      <c r="AI19" s="224"/>
      <c r="AJ19" s="293"/>
      <c r="AK19" s="224"/>
      <c r="AL19" s="293"/>
      <c r="AM19" s="265"/>
      <c r="AN19" s="122"/>
      <c r="AO19" s="312"/>
      <c r="AP19" s="224"/>
      <c r="AQ19" s="224"/>
      <c r="AR19" s="224"/>
      <c r="AS19" s="224"/>
      <c r="AT19" s="313"/>
      <c r="AU19" s="122"/>
      <c r="AV19" s="122"/>
      <c r="AW19" s="122"/>
      <c r="AX19" s="122"/>
      <c r="AY19" s="122"/>
      <c r="AZ19" s="122"/>
      <c r="BA19" s="122"/>
      <c r="BB19" s="122"/>
      <c r="BC19" s="122"/>
      <c r="BD19" s="122"/>
      <c r="BE19" s="122"/>
      <c r="BF19" s="122"/>
      <c r="BG19" s="122"/>
      <c r="BH19" s="122"/>
      <c r="BI19" s="122"/>
    </row>
    <row r="20" spans="1:61" ht="15" customHeight="1">
      <c r="A20" s="122"/>
      <c r="B20" s="293"/>
      <c r="C20" s="224"/>
      <c r="D20" s="265"/>
      <c r="E20" s="223"/>
      <c r="F20" s="224"/>
      <c r="G20" s="224"/>
      <c r="H20" s="224"/>
      <c r="I20" s="224"/>
      <c r="J20" s="308" t="e">
        <f>IF(AND('Mapa de Riesgos de Corrupción'!#REF!="Alta",'Mapa de Riesgos de Corrupción'!#REF!="Leve"),CONCATENATE("R",'Mapa de Riesgos de Corrupción'!#REF!),"")</f>
        <v>#REF!</v>
      </c>
      <c r="K20" s="295"/>
      <c r="L20" s="307" t="e">
        <f>IF(AND('Mapa de Riesgos de Corrupción'!#REF!="Alta",'Mapa de Riesgos de Corrupción'!#REF!="Leve"),CONCATENATE("R",'Mapa de Riesgos de Corrupción'!#REF!),"")</f>
        <v>#REF!</v>
      </c>
      <c r="M20" s="295"/>
      <c r="N20" s="307" t="e">
        <f>IF(AND('Mapa de Riesgos de Corrupción'!#REF!="Alta",'Mapa de Riesgos de Corrupción'!#REF!="Leve"),CONCATENATE("R",'Mapa de Riesgos de Corrupción'!#REF!),"")</f>
        <v>#REF!</v>
      </c>
      <c r="O20" s="292"/>
      <c r="P20" s="308" t="e">
        <f>IF(AND('Mapa de Riesgos de Corrupción'!#REF!="Alta",'Mapa de Riesgos de Corrupción'!#REF!="Menor"),CONCATENATE("R",'Mapa de Riesgos de Corrupción'!#REF!),"")</f>
        <v>#REF!</v>
      </c>
      <c r="Q20" s="295"/>
      <c r="R20" s="307" t="e">
        <f>IF(AND('Mapa de Riesgos de Corrupción'!#REF!="Alta",'Mapa de Riesgos de Corrupción'!#REF!="Menor"),CONCATENATE("R",'Mapa de Riesgos de Corrupción'!#REF!),"")</f>
        <v>#REF!</v>
      </c>
      <c r="S20" s="295"/>
      <c r="T20" s="307" t="e">
        <f>IF(AND('Mapa de Riesgos de Corrupción'!#REF!="Alta",'Mapa de Riesgos de Corrupción'!#REF!="Menor"),CONCATENATE("R",'Mapa de Riesgos de Corrupción'!#REF!),"")</f>
        <v>#REF!</v>
      </c>
      <c r="U20" s="292"/>
      <c r="V20" s="294" t="e">
        <f>IF(AND('Mapa de Riesgos de Corrupción'!#REF!="Alta",'Mapa de Riesgos de Corrupción'!#REF!="Moderado"),CONCATENATE("R",'Mapa de Riesgos de Corrupción'!#REF!),"")</f>
        <v>#REF!</v>
      </c>
      <c r="W20" s="295"/>
      <c r="X20" s="291" t="e">
        <f>IF(AND('Mapa de Riesgos de Corrupción'!#REF!="Alta",'Mapa de Riesgos de Corrupción'!#REF!="Moderado"),CONCATENATE("R",'Mapa de Riesgos de Corrupción'!#REF!),"")</f>
        <v>#REF!</v>
      </c>
      <c r="Y20" s="295"/>
      <c r="Z20" s="291" t="e">
        <f>IF(AND('Mapa de Riesgos de Corrupción'!#REF!="Alta",'Mapa de Riesgos de Corrupción'!#REF!="Moderado"),CONCATENATE("R",'Mapa de Riesgos de Corrupción'!#REF!),"")</f>
        <v>#REF!</v>
      </c>
      <c r="AA20" s="292"/>
      <c r="AB20" s="294" t="e">
        <f>IF(AND('Mapa de Riesgos de Corrupción'!#REF!="Alta",'Mapa de Riesgos de Corrupción'!#REF!="Mayor"),CONCATENATE("R",'Mapa de Riesgos de Corrupción'!#REF!),"")</f>
        <v>#REF!</v>
      </c>
      <c r="AC20" s="295"/>
      <c r="AD20" s="291" t="e">
        <f>IF(AND('Mapa de Riesgos de Corrupción'!#REF!="Alta",'Mapa de Riesgos de Corrupción'!#REF!="Mayor"),CONCATENATE("R",'Mapa de Riesgos de Corrupción'!#REF!),"")</f>
        <v>#REF!</v>
      </c>
      <c r="AE20" s="295"/>
      <c r="AF20" s="291" t="e">
        <f>IF(AND('Mapa de Riesgos de Corrupción'!#REF!="Alta",'Mapa de Riesgos de Corrupción'!#REF!="Mayor"),CONCATENATE("R",'Mapa de Riesgos de Corrupción'!#REF!),"")</f>
        <v>#REF!</v>
      </c>
      <c r="AG20" s="292"/>
      <c r="AH20" s="296" t="e">
        <f>IF(AND('Mapa de Riesgos de Corrupción'!#REF!="Alta",'Mapa de Riesgos de Corrupción'!#REF!="Catastrófico"),CONCATENATE("R",'Mapa de Riesgos de Corrupción'!#REF!),"")</f>
        <v>#REF!</v>
      </c>
      <c r="AI20" s="295"/>
      <c r="AJ20" s="297" t="e">
        <f>IF(AND('Mapa de Riesgos de Corrupción'!#REF!="Alta",'Mapa de Riesgos de Corrupción'!#REF!="Catastrófico"),CONCATENATE("R",'Mapa de Riesgos de Corrupción'!#REF!),"")</f>
        <v>#REF!</v>
      </c>
      <c r="AK20" s="295"/>
      <c r="AL20" s="297" t="e">
        <f>IF(AND('Mapa de Riesgos de Corrupción'!#REF!="Alta",'Mapa de Riesgos de Corrupción'!#REF!="Catastrófico"),CONCATENATE("R",'Mapa de Riesgos de Corrupción'!#REF!),"")</f>
        <v>#REF!</v>
      </c>
      <c r="AM20" s="292"/>
      <c r="AN20" s="122"/>
      <c r="AO20" s="312"/>
      <c r="AP20" s="224"/>
      <c r="AQ20" s="224"/>
      <c r="AR20" s="224"/>
      <c r="AS20" s="224"/>
      <c r="AT20" s="313"/>
      <c r="AU20" s="122"/>
      <c r="AV20" s="122"/>
      <c r="AW20" s="122"/>
      <c r="AX20" s="122"/>
      <c r="AY20" s="122"/>
      <c r="AZ20" s="122"/>
      <c r="BA20" s="122"/>
      <c r="BB20" s="122"/>
      <c r="BC20" s="122"/>
      <c r="BD20" s="122"/>
      <c r="BE20" s="122"/>
      <c r="BF20" s="122"/>
      <c r="BG20" s="122"/>
      <c r="BH20" s="122"/>
      <c r="BI20" s="122"/>
    </row>
    <row r="21" spans="1:61" ht="15.75" customHeight="1">
      <c r="A21" s="122"/>
      <c r="B21" s="293"/>
      <c r="C21" s="224"/>
      <c r="D21" s="265"/>
      <c r="E21" s="225"/>
      <c r="F21" s="226"/>
      <c r="G21" s="226"/>
      <c r="H21" s="226"/>
      <c r="I21" s="226"/>
      <c r="J21" s="225"/>
      <c r="K21" s="226"/>
      <c r="L21" s="300"/>
      <c r="M21" s="226"/>
      <c r="N21" s="300"/>
      <c r="O21" s="301"/>
      <c r="P21" s="225"/>
      <c r="Q21" s="226"/>
      <c r="R21" s="300"/>
      <c r="S21" s="226"/>
      <c r="T21" s="300"/>
      <c r="U21" s="301"/>
      <c r="V21" s="225"/>
      <c r="W21" s="226"/>
      <c r="X21" s="300"/>
      <c r="Y21" s="226"/>
      <c r="Z21" s="300"/>
      <c r="AA21" s="301"/>
      <c r="AB21" s="225"/>
      <c r="AC21" s="226"/>
      <c r="AD21" s="300"/>
      <c r="AE21" s="226"/>
      <c r="AF21" s="300"/>
      <c r="AG21" s="301"/>
      <c r="AH21" s="225"/>
      <c r="AI21" s="226"/>
      <c r="AJ21" s="300"/>
      <c r="AK21" s="226"/>
      <c r="AL21" s="300"/>
      <c r="AM21" s="301"/>
      <c r="AN21" s="122"/>
      <c r="AO21" s="314"/>
      <c r="AP21" s="315"/>
      <c r="AQ21" s="315"/>
      <c r="AR21" s="315"/>
      <c r="AS21" s="315"/>
      <c r="AT21" s="316"/>
      <c r="AU21" s="122"/>
      <c r="AV21" s="122"/>
      <c r="AW21" s="122"/>
      <c r="AX21" s="122"/>
      <c r="AY21" s="122"/>
      <c r="AZ21" s="122"/>
      <c r="BA21" s="122"/>
      <c r="BB21" s="122"/>
      <c r="BC21" s="122"/>
      <c r="BD21" s="122"/>
      <c r="BE21" s="122"/>
      <c r="BF21" s="122"/>
      <c r="BG21" s="122"/>
      <c r="BH21" s="122"/>
      <c r="BI21" s="122"/>
    </row>
    <row r="22" spans="1:61" ht="15.75" customHeight="1">
      <c r="A22" s="122"/>
      <c r="B22" s="293"/>
      <c r="C22" s="224"/>
      <c r="D22" s="265"/>
      <c r="E22" s="321" t="s">
        <v>504</v>
      </c>
      <c r="F22" s="222"/>
      <c r="G22" s="222"/>
      <c r="H22" s="222"/>
      <c r="I22" s="303"/>
      <c r="J22" s="304" t="e">
        <f>IF(AND('Mapa de Riesgos de Corrupción'!#REF!="Media",'Mapa de Riesgos de Corrupción'!#REF!="Leve"),CONCATENATE("R",'Mapa de Riesgos de Corrupción'!#REF!),"")</f>
        <v>#REF!</v>
      </c>
      <c r="K22" s="222"/>
      <c r="L22" s="302" t="e">
        <f>IF(AND('Mapa de Riesgos de Corrupción'!#REF!="Media",'Mapa de Riesgos de Corrupción'!#REF!="Leve"),CONCATENATE("R",'Mapa de Riesgos de Corrupción'!#REF!),"")</f>
        <v>#REF!</v>
      </c>
      <c r="M22" s="222"/>
      <c r="N22" s="302" t="e">
        <f>IF(AND('Mapa de Riesgos de Corrupción'!#REF!="Media",'Mapa de Riesgos de Corrupción'!#REF!="Leve"),CONCATENATE("R",'Mapa de Riesgos de Corrupción'!#REF!),"")</f>
        <v>#REF!</v>
      </c>
      <c r="O22" s="303"/>
      <c r="P22" s="304" t="e">
        <f>IF(AND('Mapa de Riesgos de Corrupción'!#REF!="Media",'Mapa de Riesgos de Corrupción'!#REF!="Menor"),CONCATENATE("R",'Mapa de Riesgos de Corrupción'!#REF!),"")</f>
        <v>#REF!</v>
      </c>
      <c r="Q22" s="222"/>
      <c r="R22" s="302" t="e">
        <f>IF(AND('Mapa de Riesgos de Corrupción'!#REF!="Media",'Mapa de Riesgos de Corrupción'!#REF!="Menor"),CONCATENATE("R",'Mapa de Riesgos de Corrupción'!#REF!),"")</f>
        <v>#REF!</v>
      </c>
      <c r="S22" s="222"/>
      <c r="T22" s="302" t="e">
        <f>IF(AND('Mapa de Riesgos de Corrupción'!#REF!="Media",'Mapa de Riesgos de Corrupción'!#REF!="Menor"),CONCATENATE("R",'Mapa de Riesgos de Corrupción'!#REF!),"")</f>
        <v>#REF!</v>
      </c>
      <c r="U22" s="303"/>
      <c r="V22" s="304" t="e">
        <f>IF(AND('Mapa de Riesgos de Corrupción'!#REF!="Media",'Mapa de Riesgos de Corrupción'!#REF!="Moderado"),CONCATENATE("R",'Mapa de Riesgos de Corrupción'!#REF!),"")</f>
        <v>#REF!</v>
      </c>
      <c r="W22" s="222"/>
      <c r="X22" s="302" t="e">
        <f>IF(AND('Mapa de Riesgos de Corrupción'!#REF!="Media",'Mapa de Riesgos de Corrupción'!#REF!="Moderado"),CONCATENATE("R",'Mapa de Riesgos de Corrupción'!#REF!),"")</f>
        <v>#REF!</v>
      </c>
      <c r="Y22" s="222"/>
      <c r="Z22" s="302" t="e">
        <f>IF(AND('Mapa de Riesgos de Corrupción'!#REF!="Media",'Mapa de Riesgos de Corrupción'!#REF!="Moderado"),CONCATENATE("R",'Mapa de Riesgos de Corrupción'!#REF!),"")</f>
        <v>#REF!</v>
      </c>
      <c r="AA22" s="303"/>
      <c r="AB22" s="298" t="e">
        <f>IF(AND('Mapa de Riesgos de Corrupción'!#REF!="Media",'Mapa de Riesgos de Corrupción'!#REF!="Mayor"),CONCATENATE("R",'Mapa de Riesgos de Corrupción'!#REF!),"")</f>
        <v>#REF!</v>
      </c>
      <c r="AC22" s="222"/>
      <c r="AD22" s="299" t="e">
        <f>IF(AND('Mapa de Riesgos de Corrupción'!#REF!="Media",'Mapa de Riesgos de Corrupción'!#REF!="Mayor"),CONCATENATE("R",'Mapa de Riesgos de Corrupción'!#REF!),"")</f>
        <v>#REF!</v>
      </c>
      <c r="AE22" s="222"/>
      <c r="AF22" s="299" t="e">
        <f>IF(AND('Mapa de Riesgos de Corrupción'!#REF!="Media",'Mapa de Riesgos de Corrupción'!#REF!="Mayor"),CONCATENATE("R",'Mapa de Riesgos de Corrupción'!#REF!),"")</f>
        <v>#REF!</v>
      </c>
      <c r="AG22" s="303"/>
      <c r="AH22" s="305" t="e">
        <f>IF(AND('Mapa de Riesgos de Corrupción'!#REF!="Media",'Mapa de Riesgos de Corrupción'!#REF!="Catastrófico"),CONCATENATE("R",'Mapa de Riesgos de Corrupción'!#REF!),"")</f>
        <v>#REF!</v>
      </c>
      <c r="AI22" s="222"/>
      <c r="AJ22" s="306" t="e">
        <f>IF(AND('Mapa de Riesgos de Corrupción'!#REF!="Media",'Mapa de Riesgos de Corrupción'!#REF!="Catastrófico"),CONCATENATE("R",'Mapa de Riesgos de Corrupción'!#REF!),"")</f>
        <v>#REF!</v>
      </c>
      <c r="AK22" s="222"/>
      <c r="AL22" s="306" t="e">
        <f>IF(AND('Mapa de Riesgos de Corrupción'!#REF!="Media",'Mapa de Riesgos de Corrupción'!#REF!="Catastrófico"),CONCATENATE("R",'Mapa de Riesgos de Corrupción'!#REF!),"")</f>
        <v>#REF!</v>
      </c>
      <c r="AM22" s="303"/>
      <c r="AN22" s="122"/>
      <c r="AO22" s="319" t="s">
        <v>505</v>
      </c>
      <c r="AP22" s="310"/>
      <c r="AQ22" s="310"/>
      <c r="AR22" s="310"/>
      <c r="AS22" s="310"/>
      <c r="AT22" s="311"/>
      <c r="AU22" s="122"/>
      <c r="AV22" s="122"/>
      <c r="AW22" s="122"/>
      <c r="AX22" s="122"/>
      <c r="AY22" s="122"/>
      <c r="AZ22" s="122"/>
      <c r="BA22" s="122"/>
      <c r="BB22" s="122"/>
      <c r="BC22" s="122"/>
      <c r="BD22" s="122"/>
      <c r="BE22" s="122"/>
      <c r="BF22" s="122"/>
      <c r="BG22" s="122"/>
      <c r="BH22" s="122"/>
      <c r="BI22" s="122"/>
    </row>
    <row r="23" spans="1:61" ht="15.75" customHeight="1">
      <c r="A23" s="122"/>
      <c r="B23" s="293"/>
      <c r="C23" s="224"/>
      <c r="D23" s="265"/>
      <c r="E23" s="223"/>
      <c r="F23" s="224"/>
      <c r="G23" s="224"/>
      <c r="H23" s="224"/>
      <c r="I23" s="265"/>
      <c r="J23" s="223"/>
      <c r="K23" s="224"/>
      <c r="L23" s="293"/>
      <c r="M23" s="224"/>
      <c r="N23" s="293"/>
      <c r="O23" s="265"/>
      <c r="P23" s="223"/>
      <c r="Q23" s="224"/>
      <c r="R23" s="293"/>
      <c r="S23" s="224"/>
      <c r="T23" s="293"/>
      <c r="U23" s="265"/>
      <c r="V23" s="223"/>
      <c r="W23" s="224"/>
      <c r="X23" s="293"/>
      <c r="Y23" s="224"/>
      <c r="Z23" s="293"/>
      <c r="AA23" s="265"/>
      <c r="AB23" s="223"/>
      <c r="AC23" s="224"/>
      <c r="AD23" s="293"/>
      <c r="AE23" s="224"/>
      <c r="AF23" s="293"/>
      <c r="AG23" s="265"/>
      <c r="AH23" s="223"/>
      <c r="AI23" s="224"/>
      <c r="AJ23" s="293"/>
      <c r="AK23" s="224"/>
      <c r="AL23" s="293"/>
      <c r="AM23" s="265"/>
      <c r="AN23" s="122"/>
      <c r="AO23" s="312"/>
      <c r="AP23" s="224"/>
      <c r="AQ23" s="224"/>
      <c r="AR23" s="224"/>
      <c r="AS23" s="224"/>
      <c r="AT23" s="313"/>
      <c r="AU23" s="122"/>
      <c r="AV23" s="122"/>
      <c r="AW23" s="122"/>
      <c r="AX23" s="122"/>
      <c r="AY23" s="122"/>
      <c r="AZ23" s="122"/>
      <c r="BA23" s="122"/>
      <c r="BB23" s="122"/>
      <c r="BC23" s="122"/>
      <c r="BD23" s="122"/>
      <c r="BE23" s="122"/>
      <c r="BF23" s="122"/>
      <c r="BG23" s="122"/>
      <c r="BH23" s="122"/>
      <c r="BI23" s="122"/>
    </row>
    <row r="24" spans="1:61" ht="15.75" customHeight="1">
      <c r="A24" s="122"/>
      <c r="B24" s="293"/>
      <c r="C24" s="224"/>
      <c r="D24" s="265"/>
      <c r="E24" s="223"/>
      <c r="F24" s="224"/>
      <c r="G24" s="224"/>
      <c r="H24" s="224"/>
      <c r="I24" s="265"/>
      <c r="J24" s="308" t="str">
        <f ca="1">IF(AND('Mapa de Riesgos de Corrupción'!$K$13="Media",'Mapa de Riesgos de Corrupción'!$O$13="Leve"),CONCATENATE("R",'Mapa de Riesgos de Corrupción'!$A$13),"")</f>
        <v/>
      </c>
      <c r="K24" s="295"/>
      <c r="L24" s="307" t="str">
        <f ca="1">IF(AND('Mapa de Riesgos de Corrupción'!$K$16="Media",'Mapa de Riesgos de Corrupción'!$O$16="Leve"),CONCATENATE("R",'Mapa de Riesgos de Corrupción'!$A$16),"")</f>
        <v/>
      </c>
      <c r="M24" s="295"/>
      <c r="N24" s="307" t="e">
        <f>IF(AND('Mapa de Riesgos de Corrupción'!#REF!="Media",'Mapa de Riesgos de Corrupción'!#REF!="Leve"),CONCATENATE("R",'Mapa de Riesgos de Corrupción'!#REF!),"")</f>
        <v>#REF!</v>
      </c>
      <c r="O24" s="292"/>
      <c r="P24" s="308" t="str">
        <f ca="1">IF(AND('Mapa de Riesgos de Corrupción'!$K$13="Media",'Mapa de Riesgos de Corrupción'!$O$13="Menor"),CONCATENATE("R",'Mapa de Riesgos de Corrupción'!$A$13),"")</f>
        <v/>
      </c>
      <c r="Q24" s="295"/>
      <c r="R24" s="307" t="str">
        <f ca="1">IF(AND('Mapa de Riesgos de Corrupción'!$K$16="Media",'Mapa de Riesgos de Corrupción'!$O$16="Menor"),CONCATENATE("R",'Mapa de Riesgos de Corrupción'!$A$16),"")</f>
        <v/>
      </c>
      <c r="S24" s="295"/>
      <c r="T24" s="307" t="e">
        <f>IF(AND('Mapa de Riesgos de Corrupción'!#REF!="Media",'Mapa de Riesgos de Corrupción'!#REF!="Menor"),CONCATENATE("R",'Mapa de Riesgos de Corrupción'!#REF!),"")</f>
        <v>#REF!</v>
      </c>
      <c r="U24" s="292"/>
      <c r="V24" s="308" t="str">
        <f ca="1">IF(AND('Mapa de Riesgos de Corrupción'!$K$13="Media",'Mapa de Riesgos de Corrupción'!$O$13="Moderado"),CONCATENATE("R",'Mapa de Riesgos de Corrupción'!$A$13),"")</f>
        <v/>
      </c>
      <c r="W24" s="295"/>
      <c r="X24" s="307" t="str">
        <f ca="1">IF(AND('Mapa de Riesgos de Corrupción'!$K$16="Media",'Mapa de Riesgos de Corrupción'!$O$16="Moderado"),CONCATENATE("R",'Mapa de Riesgos de Corrupción'!$A$16),"")</f>
        <v/>
      </c>
      <c r="Y24" s="295"/>
      <c r="Z24" s="307" t="e">
        <f>IF(AND('Mapa de Riesgos de Corrupción'!#REF!="Media",'Mapa de Riesgos de Corrupción'!#REF!="Moderado"),CONCATENATE("R",'Mapa de Riesgos de Corrupción'!#REF!),"")</f>
        <v>#REF!</v>
      </c>
      <c r="AA24" s="292"/>
      <c r="AB24" s="294" t="str">
        <f ca="1">IF(AND('Mapa de Riesgos de Corrupción'!$K$13="Media",'Mapa de Riesgos de Corrupción'!$O$13="Mayor"),CONCATENATE("R",'Mapa de Riesgos de Corrupción'!$A$13),"")</f>
        <v/>
      </c>
      <c r="AC24" s="295"/>
      <c r="AD24" s="291" t="str">
        <f ca="1">IF(AND('Mapa de Riesgos de Corrupción'!$K$16="Media",'Mapa de Riesgos de Corrupción'!$O$16="Mayor"),CONCATENATE("R",'Mapa de Riesgos de Corrupción'!$A$16),"")</f>
        <v/>
      </c>
      <c r="AE24" s="295"/>
      <c r="AF24" s="291" t="e">
        <f>IF(AND('Mapa de Riesgos de Corrupción'!#REF!="Media",'Mapa de Riesgos de Corrupción'!#REF!="Mayor"),CONCATENATE("R",'Mapa de Riesgos de Corrupción'!#REF!),"")</f>
        <v>#REF!</v>
      </c>
      <c r="AG24" s="292"/>
      <c r="AH24" s="296" t="str">
        <f ca="1">IF(AND('Mapa de Riesgos de Corrupción'!$K$13="Media",'Mapa de Riesgos de Corrupción'!$O$13="Catastrófico"),CONCATENATE("R",'Mapa de Riesgos de Corrupción'!$A$13),"")</f>
        <v>RRC6</v>
      </c>
      <c r="AI24" s="295"/>
      <c r="AJ24" s="297" t="str">
        <f ca="1">IF(AND('Mapa de Riesgos de Corrupción'!$K$16="Media",'Mapa de Riesgos de Corrupción'!$O$16="Catastrófico"),CONCATENATE("R",'Mapa de Riesgos de Corrupción'!$A$16),"")</f>
        <v/>
      </c>
      <c r="AK24" s="295"/>
      <c r="AL24" s="297" t="e">
        <f>IF(AND('Mapa de Riesgos de Corrupción'!#REF!="Media",'Mapa de Riesgos de Corrupción'!#REF!="Catastrófico"),CONCATENATE("R",'Mapa de Riesgos de Corrupción'!#REF!),"")</f>
        <v>#REF!</v>
      </c>
      <c r="AM24" s="292"/>
      <c r="AN24" s="122"/>
      <c r="AO24" s="312"/>
      <c r="AP24" s="224"/>
      <c r="AQ24" s="224"/>
      <c r="AR24" s="224"/>
      <c r="AS24" s="224"/>
      <c r="AT24" s="313"/>
      <c r="AU24" s="122"/>
      <c r="AV24" s="122"/>
      <c r="AW24" s="122"/>
      <c r="AX24" s="122"/>
      <c r="AY24" s="122"/>
      <c r="AZ24" s="122"/>
      <c r="BA24" s="122"/>
      <c r="BB24" s="122"/>
      <c r="BC24" s="122"/>
      <c r="BD24" s="122"/>
      <c r="BE24" s="122"/>
      <c r="BF24" s="122"/>
      <c r="BG24" s="122"/>
      <c r="BH24" s="122"/>
      <c r="BI24" s="122"/>
    </row>
    <row r="25" spans="1:61" ht="15.75" customHeight="1">
      <c r="A25" s="122"/>
      <c r="B25" s="293"/>
      <c r="C25" s="224"/>
      <c r="D25" s="265"/>
      <c r="E25" s="223"/>
      <c r="F25" s="224"/>
      <c r="G25" s="224"/>
      <c r="H25" s="224"/>
      <c r="I25" s="265"/>
      <c r="J25" s="223"/>
      <c r="K25" s="224"/>
      <c r="L25" s="293"/>
      <c r="M25" s="224"/>
      <c r="N25" s="293"/>
      <c r="O25" s="265"/>
      <c r="P25" s="223"/>
      <c r="Q25" s="224"/>
      <c r="R25" s="293"/>
      <c r="S25" s="224"/>
      <c r="T25" s="293"/>
      <c r="U25" s="265"/>
      <c r="V25" s="223"/>
      <c r="W25" s="224"/>
      <c r="X25" s="293"/>
      <c r="Y25" s="224"/>
      <c r="Z25" s="293"/>
      <c r="AA25" s="265"/>
      <c r="AB25" s="223"/>
      <c r="AC25" s="224"/>
      <c r="AD25" s="293"/>
      <c r="AE25" s="224"/>
      <c r="AF25" s="293"/>
      <c r="AG25" s="265"/>
      <c r="AH25" s="223"/>
      <c r="AI25" s="224"/>
      <c r="AJ25" s="293"/>
      <c r="AK25" s="224"/>
      <c r="AL25" s="293"/>
      <c r="AM25" s="265"/>
      <c r="AN25" s="122"/>
      <c r="AO25" s="312"/>
      <c r="AP25" s="224"/>
      <c r="AQ25" s="224"/>
      <c r="AR25" s="224"/>
      <c r="AS25" s="224"/>
      <c r="AT25" s="313"/>
      <c r="AU25" s="122"/>
      <c r="AV25" s="122"/>
      <c r="AW25" s="122"/>
      <c r="AX25" s="122"/>
      <c r="AY25" s="122"/>
      <c r="AZ25" s="122"/>
      <c r="BA25" s="122"/>
      <c r="BB25" s="122"/>
      <c r="BC25" s="122"/>
      <c r="BD25" s="122"/>
      <c r="BE25" s="122"/>
      <c r="BF25" s="122"/>
      <c r="BG25" s="122"/>
      <c r="BH25" s="122"/>
      <c r="BI25" s="122"/>
    </row>
    <row r="26" spans="1:61" ht="15.75" customHeight="1">
      <c r="A26" s="122"/>
      <c r="B26" s="293"/>
      <c r="C26" s="224"/>
      <c r="D26" s="265"/>
      <c r="E26" s="223"/>
      <c r="F26" s="224"/>
      <c r="G26" s="224"/>
      <c r="H26" s="224"/>
      <c r="I26" s="265"/>
      <c r="J26" s="308" t="e">
        <f>IF(AND('Mapa de Riesgos de Corrupción'!#REF!="Media",'Mapa de Riesgos de Corrupción'!#REF!="Leve"),CONCATENATE("R",'Mapa de Riesgos de Corrupción'!#REF!),"")</f>
        <v>#REF!</v>
      </c>
      <c r="K26" s="295"/>
      <c r="L26" s="307" t="e">
        <f>IF(AND('Mapa de Riesgos de Corrupción'!#REF!="Media",'Mapa de Riesgos de Corrupción'!#REF!="Leve"),CONCATENATE("R",'Mapa de Riesgos de Corrupción'!#REF!),"")</f>
        <v>#REF!</v>
      </c>
      <c r="M26" s="295"/>
      <c r="N26" s="307" t="e">
        <f>IF(AND('Mapa de Riesgos de Corrupción'!#REF!="Media",'Mapa de Riesgos de Corrupción'!#REF!="Leve"),CONCATENATE("R",'Mapa de Riesgos de Corrupción'!#REF!),"")</f>
        <v>#REF!</v>
      </c>
      <c r="O26" s="292"/>
      <c r="P26" s="308" t="e">
        <f>IF(AND('Mapa de Riesgos de Corrupción'!#REF!="Media",'Mapa de Riesgos de Corrupción'!#REF!="Menor"),CONCATENATE("R",'Mapa de Riesgos de Corrupción'!#REF!),"")</f>
        <v>#REF!</v>
      </c>
      <c r="Q26" s="295"/>
      <c r="R26" s="307" t="e">
        <f>IF(AND('Mapa de Riesgos de Corrupción'!#REF!="Media",'Mapa de Riesgos de Corrupción'!#REF!="Menor"),CONCATENATE("R",'Mapa de Riesgos de Corrupción'!#REF!),"")</f>
        <v>#REF!</v>
      </c>
      <c r="S26" s="295"/>
      <c r="T26" s="307" t="e">
        <f>IF(AND('Mapa de Riesgos de Corrupción'!#REF!="Media",'Mapa de Riesgos de Corrupción'!#REF!="Menor"),CONCATENATE("R",'Mapa de Riesgos de Corrupción'!#REF!),"")</f>
        <v>#REF!</v>
      </c>
      <c r="U26" s="292"/>
      <c r="V26" s="308" t="e">
        <f>IF(AND('Mapa de Riesgos de Corrupción'!#REF!="Media",'Mapa de Riesgos de Corrupción'!#REF!="Moderado"),CONCATENATE("R",'Mapa de Riesgos de Corrupción'!#REF!),"")</f>
        <v>#REF!</v>
      </c>
      <c r="W26" s="295"/>
      <c r="X26" s="307" t="e">
        <f>IF(AND('Mapa de Riesgos de Corrupción'!#REF!="Media",'Mapa de Riesgos de Corrupción'!#REF!="Moderado"),CONCATENATE("R",'Mapa de Riesgos de Corrupción'!#REF!),"")</f>
        <v>#REF!</v>
      </c>
      <c r="Y26" s="295"/>
      <c r="Z26" s="307" t="e">
        <f>IF(AND('Mapa de Riesgos de Corrupción'!#REF!="Media",'Mapa de Riesgos de Corrupción'!#REF!="Moderado"),CONCATENATE("R",'Mapa de Riesgos de Corrupción'!#REF!),"")</f>
        <v>#REF!</v>
      </c>
      <c r="AA26" s="292"/>
      <c r="AB26" s="294" t="e">
        <f>IF(AND('Mapa de Riesgos de Corrupción'!#REF!="Media",'Mapa de Riesgos de Corrupción'!#REF!="Mayor"),CONCATENATE("R",'Mapa de Riesgos de Corrupción'!#REF!),"")</f>
        <v>#REF!</v>
      </c>
      <c r="AC26" s="295"/>
      <c r="AD26" s="291" t="e">
        <f>IF(AND('Mapa de Riesgos de Corrupción'!#REF!="Media",'Mapa de Riesgos de Corrupción'!#REF!="Mayor"),CONCATENATE("R",'Mapa de Riesgos de Corrupción'!#REF!),"")</f>
        <v>#REF!</v>
      </c>
      <c r="AE26" s="295"/>
      <c r="AF26" s="291" t="e">
        <f>IF(AND('Mapa de Riesgos de Corrupción'!#REF!="Media",'Mapa de Riesgos de Corrupción'!#REF!="Mayor"),CONCATENATE("R",'Mapa de Riesgos de Corrupción'!#REF!),"")</f>
        <v>#REF!</v>
      </c>
      <c r="AG26" s="292"/>
      <c r="AH26" s="296" t="e">
        <f>IF(AND('Mapa de Riesgos de Corrupción'!#REF!="Media",'Mapa de Riesgos de Corrupción'!#REF!="Catastrófico"),CONCATENATE("R",'Mapa de Riesgos de Corrupción'!#REF!),"")</f>
        <v>#REF!</v>
      </c>
      <c r="AI26" s="295"/>
      <c r="AJ26" s="297" t="e">
        <f>IF(AND('Mapa de Riesgos de Corrupción'!#REF!="Media",'Mapa de Riesgos de Corrupción'!#REF!="Catastrófico"),CONCATENATE("R",'Mapa de Riesgos de Corrupción'!#REF!),"")</f>
        <v>#REF!</v>
      </c>
      <c r="AK26" s="295"/>
      <c r="AL26" s="297" t="e">
        <f>IF(AND('Mapa de Riesgos de Corrupción'!#REF!="Media",'Mapa de Riesgos de Corrupción'!#REF!="Catastrófico"),CONCATENATE("R",'Mapa de Riesgos de Corrupción'!#REF!),"")</f>
        <v>#REF!</v>
      </c>
      <c r="AM26" s="292"/>
      <c r="AN26" s="122"/>
      <c r="AO26" s="312"/>
      <c r="AP26" s="224"/>
      <c r="AQ26" s="224"/>
      <c r="AR26" s="224"/>
      <c r="AS26" s="224"/>
      <c r="AT26" s="313"/>
      <c r="AU26" s="122"/>
      <c r="AV26" s="122"/>
      <c r="AW26" s="122"/>
      <c r="AX26" s="122"/>
      <c r="AY26" s="122"/>
      <c r="AZ26" s="122"/>
      <c r="BA26" s="122"/>
      <c r="BB26" s="122"/>
      <c r="BC26" s="122"/>
      <c r="BD26" s="122"/>
      <c r="BE26" s="122"/>
      <c r="BF26" s="122"/>
      <c r="BG26" s="122"/>
      <c r="BH26" s="122"/>
      <c r="BI26" s="122"/>
    </row>
    <row r="27" spans="1:61" ht="15.75" customHeight="1">
      <c r="A27" s="122"/>
      <c r="B27" s="293"/>
      <c r="C27" s="224"/>
      <c r="D27" s="265"/>
      <c r="E27" s="223"/>
      <c r="F27" s="224"/>
      <c r="G27" s="224"/>
      <c r="H27" s="224"/>
      <c r="I27" s="265"/>
      <c r="J27" s="223"/>
      <c r="K27" s="224"/>
      <c r="L27" s="293"/>
      <c r="M27" s="224"/>
      <c r="N27" s="293"/>
      <c r="O27" s="265"/>
      <c r="P27" s="223"/>
      <c r="Q27" s="224"/>
      <c r="R27" s="293"/>
      <c r="S27" s="224"/>
      <c r="T27" s="293"/>
      <c r="U27" s="265"/>
      <c r="V27" s="223"/>
      <c r="W27" s="224"/>
      <c r="X27" s="293"/>
      <c r="Y27" s="224"/>
      <c r="Z27" s="293"/>
      <c r="AA27" s="265"/>
      <c r="AB27" s="223"/>
      <c r="AC27" s="224"/>
      <c r="AD27" s="293"/>
      <c r="AE27" s="224"/>
      <c r="AF27" s="293"/>
      <c r="AG27" s="265"/>
      <c r="AH27" s="223"/>
      <c r="AI27" s="224"/>
      <c r="AJ27" s="293"/>
      <c r="AK27" s="224"/>
      <c r="AL27" s="293"/>
      <c r="AM27" s="265"/>
      <c r="AN27" s="122"/>
      <c r="AO27" s="312"/>
      <c r="AP27" s="224"/>
      <c r="AQ27" s="224"/>
      <c r="AR27" s="224"/>
      <c r="AS27" s="224"/>
      <c r="AT27" s="313"/>
      <c r="AU27" s="122"/>
      <c r="AV27" s="122"/>
      <c r="AW27" s="122"/>
      <c r="AX27" s="122"/>
      <c r="AY27" s="122"/>
      <c r="AZ27" s="122"/>
      <c r="BA27" s="122"/>
      <c r="BB27" s="122"/>
      <c r="BC27" s="122"/>
      <c r="BD27" s="122"/>
      <c r="BE27" s="122"/>
      <c r="BF27" s="122"/>
      <c r="BG27" s="122"/>
      <c r="BH27" s="122"/>
      <c r="BI27" s="122"/>
    </row>
    <row r="28" spans="1:61" ht="15.75" customHeight="1">
      <c r="A28" s="122"/>
      <c r="B28" s="293"/>
      <c r="C28" s="224"/>
      <c r="D28" s="265"/>
      <c r="E28" s="223"/>
      <c r="F28" s="224"/>
      <c r="G28" s="224"/>
      <c r="H28" s="224"/>
      <c r="I28" s="265"/>
      <c r="J28" s="308" t="e">
        <f>IF(AND('Mapa de Riesgos de Corrupción'!#REF!="Media",'Mapa de Riesgos de Corrupción'!#REF!="Leve"),CONCATENATE("R",'Mapa de Riesgos de Corrupción'!#REF!),"")</f>
        <v>#REF!</v>
      </c>
      <c r="K28" s="295"/>
      <c r="L28" s="307" t="e">
        <f>IF(AND('Mapa de Riesgos de Corrupción'!#REF!="Media",'Mapa de Riesgos de Corrupción'!#REF!="Leve"),CONCATENATE("R",'Mapa de Riesgos de Corrupción'!#REF!),"")</f>
        <v>#REF!</v>
      </c>
      <c r="M28" s="295"/>
      <c r="N28" s="307" t="e">
        <f>IF(AND('Mapa de Riesgos de Corrupción'!#REF!="Media",'Mapa de Riesgos de Corrupción'!#REF!="Leve"),CONCATENATE("R",'Mapa de Riesgos de Corrupción'!#REF!),"")</f>
        <v>#REF!</v>
      </c>
      <c r="O28" s="292"/>
      <c r="P28" s="308" t="e">
        <f>IF(AND('Mapa de Riesgos de Corrupción'!#REF!="Media",'Mapa de Riesgos de Corrupción'!#REF!="Menor"),CONCATENATE("R",'Mapa de Riesgos de Corrupción'!#REF!),"")</f>
        <v>#REF!</v>
      </c>
      <c r="Q28" s="295"/>
      <c r="R28" s="307" t="e">
        <f>IF(AND('Mapa de Riesgos de Corrupción'!#REF!="Media",'Mapa de Riesgos de Corrupción'!#REF!="Menor"),CONCATENATE("R",'Mapa de Riesgos de Corrupción'!#REF!),"")</f>
        <v>#REF!</v>
      </c>
      <c r="S28" s="295"/>
      <c r="T28" s="307" t="e">
        <f>IF(AND('Mapa de Riesgos de Corrupción'!#REF!="Media",'Mapa de Riesgos de Corrupción'!#REF!="Menor"),CONCATENATE("R",'Mapa de Riesgos de Corrupción'!#REF!),"")</f>
        <v>#REF!</v>
      </c>
      <c r="U28" s="292"/>
      <c r="V28" s="308" t="e">
        <f>IF(AND('Mapa de Riesgos de Corrupción'!#REF!="Media",'Mapa de Riesgos de Corrupción'!#REF!="Moderado"),CONCATENATE("R",'Mapa de Riesgos de Corrupción'!#REF!),"")</f>
        <v>#REF!</v>
      </c>
      <c r="W28" s="295"/>
      <c r="X28" s="307" t="e">
        <f>IF(AND('Mapa de Riesgos de Corrupción'!#REF!="Media",'Mapa de Riesgos de Corrupción'!#REF!="Moderado"),CONCATENATE("R",'Mapa de Riesgos de Corrupción'!#REF!),"")</f>
        <v>#REF!</v>
      </c>
      <c r="Y28" s="295"/>
      <c r="Z28" s="307" t="e">
        <f>IF(AND('Mapa de Riesgos de Corrupción'!#REF!="Media",'Mapa de Riesgos de Corrupción'!#REF!="Moderado"),CONCATENATE("R",'Mapa de Riesgos de Corrupción'!#REF!),"")</f>
        <v>#REF!</v>
      </c>
      <c r="AA28" s="292"/>
      <c r="AB28" s="294" t="e">
        <f>IF(AND('Mapa de Riesgos de Corrupción'!#REF!="Media",'Mapa de Riesgos de Corrupción'!#REF!="Mayor"),CONCATENATE("R",'Mapa de Riesgos de Corrupción'!#REF!),"")</f>
        <v>#REF!</v>
      </c>
      <c r="AC28" s="295"/>
      <c r="AD28" s="291" t="e">
        <f>IF(AND('Mapa de Riesgos de Corrupción'!#REF!="Media",'Mapa de Riesgos de Corrupción'!#REF!="Mayor"),CONCATENATE("R",'Mapa de Riesgos de Corrupción'!#REF!),"")</f>
        <v>#REF!</v>
      </c>
      <c r="AE28" s="295"/>
      <c r="AF28" s="291" t="e">
        <f>IF(AND('Mapa de Riesgos de Corrupción'!#REF!="Media",'Mapa de Riesgos de Corrupción'!#REF!="Mayor"),CONCATENATE("R",'Mapa de Riesgos de Corrupción'!#REF!),"")</f>
        <v>#REF!</v>
      </c>
      <c r="AG28" s="292"/>
      <c r="AH28" s="296" t="e">
        <f>IF(AND('Mapa de Riesgos de Corrupción'!#REF!="Media",'Mapa de Riesgos de Corrupción'!#REF!="Catastrófico"),CONCATENATE("R",'Mapa de Riesgos de Corrupción'!#REF!),"")</f>
        <v>#REF!</v>
      </c>
      <c r="AI28" s="295"/>
      <c r="AJ28" s="297" t="e">
        <f>IF(AND('Mapa de Riesgos de Corrupción'!#REF!="Media",'Mapa de Riesgos de Corrupción'!#REF!="Catastrófico"),CONCATENATE("R",'Mapa de Riesgos de Corrupción'!#REF!),"")</f>
        <v>#REF!</v>
      </c>
      <c r="AK28" s="295"/>
      <c r="AL28" s="297" t="e">
        <f>IF(AND('Mapa de Riesgos de Corrupción'!#REF!="Media",'Mapa de Riesgos de Corrupción'!#REF!="Catastrófico"),CONCATENATE("R",'Mapa de Riesgos de Corrupción'!#REF!),"")</f>
        <v>#REF!</v>
      </c>
      <c r="AM28" s="292"/>
      <c r="AN28" s="122"/>
      <c r="AO28" s="312"/>
      <c r="AP28" s="224"/>
      <c r="AQ28" s="224"/>
      <c r="AR28" s="224"/>
      <c r="AS28" s="224"/>
      <c r="AT28" s="313"/>
      <c r="AU28" s="122"/>
      <c r="AV28" s="122"/>
      <c r="AW28" s="122"/>
      <c r="AX28" s="122"/>
      <c r="AY28" s="122"/>
      <c r="AZ28" s="122"/>
      <c r="BA28" s="122"/>
      <c r="BB28" s="122"/>
      <c r="BC28" s="122"/>
      <c r="BD28" s="122"/>
      <c r="BE28" s="122"/>
      <c r="BF28" s="122"/>
      <c r="BG28" s="122"/>
      <c r="BH28" s="122"/>
      <c r="BI28" s="122"/>
    </row>
    <row r="29" spans="1:61" ht="15.75" customHeight="1">
      <c r="A29" s="122"/>
      <c r="B29" s="293"/>
      <c r="C29" s="224"/>
      <c r="D29" s="265"/>
      <c r="E29" s="225"/>
      <c r="F29" s="226"/>
      <c r="G29" s="226"/>
      <c r="H29" s="226"/>
      <c r="I29" s="301"/>
      <c r="J29" s="223"/>
      <c r="K29" s="224"/>
      <c r="L29" s="293"/>
      <c r="M29" s="224"/>
      <c r="N29" s="293"/>
      <c r="O29" s="265"/>
      <c r="P29" s="225"/>
      <c r="Q29" s="226"/>
      <c r="R29" s="300"/>
      <c r="S29" s="226"/>
      <c r="T29" s="300"/>
      <c r="U29" s="301"/>
      <c r="V29" s="225"/>
      <c r="W29" s="226"/>
      <c r="X29" s="300"/>
      <c r="Y29" s="226"/>
      <c r="Z29" s="300"/>
      <c r="AA29" s="301"/>
      <c r="AB29" s="225"/>
      <c r="AC29" s="226"/>
      <c r="AD29" s="300"/>
      <c r="AE29" s="226"/>
      <c r="AF29" s="300"/>
      <c r="AG29" s="301"/>
      <c r="AH29" s="225"/>
      <c r="AI29" s="226"/>
      <c r="AJ29" s="300"/>
      <c r="AK29" s="226"/>
      <c r="AL29" s="300"/>
      <c r="AM29" s="301"/>
      <c r="AN29" s="122"/>
      <c r="AO29" s="314"/>
      <c r="AP29" s="315"/>
      <c r="AQ29" s="315"/>
      <c r="AR29" s="315"/>
      <c r="AS29" s="315"/>
      <c r="AT29" s="316"/>
      <c r="AU29" s="122"/>
      <c r="AV29" s="122"/>
      <c r="AW29" s="122"/>
      <c r="AX29" s="122"/>
      <c r="AY29" s="122"/>
      <c r="AZ29" s="122"/>
      <c r="BA29" s="122"/>
      <c r="BB29" s="122"/>
      <c r="BC29" s="122"/>
      <c r="BD29" s="122"/>
      <c r="BE29" s="122"/>
      <c r="BF29" s="122"/>
      <c r="BG29" s="122"/>
      <c r="BH29" s="122"/>
      <c r="BI29" s="122"/>
    </row>
    <row r="30" spans="1:61" ht="15.75" customHeight="1">
      <c r="A30" s="122"/>
      <c r="B30" s="293"/>
      <c r="C30" s="224"/>
      <c r="D30" s="265"/>
      <c r="E30" s="321" t="s">
        <v>506</v>
      </c>
      <c r="F30" s="222"/>
      <c r="G30" s="222"/>
      <c r="H30" s="222"/>
      <c r="I30" s="222"/>
      <c r="J30" s="322" t="e">
        <f>IF(AND('Mapa de Riesgos de Corrupción'!#REF!="Baja",'Mapa de Riesgos de Corrupción'!#REF!="Leve"),CONCATENATE("R",'Mapa de Riesgos de Corrupción'!#REF!),"")</f>
        <v>#REF!</v>
      </c>
      <c r="K30" s="222"/>
      <c r="L30" s="324" t="e">
        <f>IF(AND('Mapa de Riesgos de Corrupción'!#REF!="Baja",'Mapa de Riesgos de Corrupción'!#REF!="Leve"),CONCATENATE("R",'Mapa de Riesgos de Corrupción'!#REF!),"")</f>
        <v>#REF!</v>
      </c>
      <c r="M30" s="222"/>
      <c r="N30" s="324" t="e">
        <f>IF(AND('Mapa de Riesgos de Corrupción'!#REF!="Baja",'Mapa de Riesgos de Corrupción'!#REF!="Leve"),CONCATENATE("R",'Mapa de Riesgos de Corrupción'!#REF!),"")</f>
        <v>#REF!</v>
      </c>
      <c r="O30" s="303"/>
      <c r="P30" s="302" t="e">
        <f>IF(AND('Mapa de Riesgos de Corrupción'!#REF!="Baja",'Mapa de Riesgos de Corrupción'!#REF!="Menor"),CONCATENATE("R",'Mapa de Riesgos de Corrupción'!#REF!),"")</f>
        <v>#REF!</v>
      </c>
      <c r="Q30" s="222"/>
      <c r="R30" s="302" t="e">
        <f>IF(AND('Mapa de Riesgos de Corrupción'!#REF!="Baja",'Mapa de Riesgos de Corrupción'!#REF!="Menor"),CONCATENATE("R",'Mapa de Riesgos de Corrupción'!#REF!),"")</f>
        <v>#REF!</v>
      </c>
      <c r="S30" s="222"/>
      <c r="T30" s="302" t="e">
        <f>IF(AND('Mapa de Riesgos de Corrupción'!#REF!="Baja",'Mapa de Riesgos de Corrupción'!#REF!="Menor"),CONCATENATE("R",'Mapa de Riesgos de Corrupción'!#REF!),"")</f>
        <v>#REF!</v>
      </c>
      <c r="U30" s="303"/>
      <c r="V30" s="304" t="e">
        <f>IF(AND('Mapa de Riesgos de Corrupción'!#REF!="Baja",'Mapa de Riesgos de Corrupción'!#REF!="Moderado"),CONCATENATE("R",'Mapa de Riesgos de Corrupción'!#REF!),"")</f>
        <v>#REF!</v>
      </c>
      <c r="W30" s="222"/>
      <c r="X30" s="302" t="e">
        <f>IF(AND('Mapa de Riesgos de Corrupción'!#REF!="Baja",'Mapa de Riesgos de Corrupción'!#REF!="Moderado"),CONCATENATE("R",'Mapa de Riesgos de Corrupción'!#REF!),"")</f>
        <v>#REF!</v>
      </c>
      <c r="Y30" s="222"/>
      <c r="Z30" s="302" t="e">
        <f>IF(AND('Mapa de Riesgos de Corrupción'!#REF!="Baja",'Mapa de Riesgos de Corrupción'!#REF!="Moderado"),CONCATENATE("R",'Mapa de Riesgos de Corrupción'!#REF!),"")</f>
        <v>#REF!</v>
      </c>
      <c r="AA30" s="303"/>
      <c r="AB30" s="298" t="e">
        <f>IF(AND('Mapa de Riesgos de Corrupción'!#REF!="Baja",'Mapa de Riesgos de Corrupción'!#REF!="Mayor"),CONCATENATE("R",'Mapa de Riesgos de Corrupción'!#REF!),"")</f>
        <v>#REF!</v>
      </c>
      <c r="AC30" s="222"/>
      <c r="AD30" s="299" t="e">
        <f>IF(AND('Mapa de Riesgos de Corrupción'!#REF!="Baja",'Mapa de Riesgos de Corrupción'!#REF!="Mayor"),CONCATENATE("R",'Mapa de Riesgos de Corrupción'!#REF!),"")</f>
        <v>#REF!</v>
      </c>
      <c r="AE30" s="222"/>
      <c r="AF30" s="299" t="e">
        <f>IF(AND('Mapa de Riesgos de Corrupción'!#REF!="Baja",'Mapa de Riesgos de Corrupción'!#REF!="Mayor"),CONCATENATE("R",'Mapa de Riesgos de Corrupción'!#REF!),"")</f>
        <v>#REF!</v>
      </c>
      <c r="AG30" s="303"/>
      <c r="AH30" s="305" t="e">
        <f>IF(AND('Mapa de Riesgos de Corrupción'!#REF!="Baja",'Mapa de Riesgos de Corrupción'!#REF!="Catastrófico"),CONCATENATE("R",'Mapa de Riesgos de Corrupción'!#REF!),"")</f>
        <v>#REF!</v>
      </c>
      <c r="AI30" s="222"/>
      <c r="AJ30" s="306" t="e">
        <f>IF(AND('Mapa de Riesgos de Corrupción'!#REF!="Baja",'Mapa de Riesgos de Corrupción'!#REF!="Catastrófico"),CONCATENATE("R",'Mapa de Riesgos de Corrupción'!#REF!),"")</f>
        <v>#REF!</v>
      </c>
      <c r="AK30" s="222"/>
      <c r="AL30" s="306" t="e">
        <f>IF(AND('Mapa de Riesgos de Corrupción'!#REF!="Baja",'Mapa de Riesgos de Corrupción'!#REF!="Catastrófico"),CONCATENATE("R",'Mapa de Riesgos de Corrupción'!#REF!),"")</f>
        <v>#REF!</v>
      </c>
      <c r="AM30" s="303"/>
      <c r="AN30" s="122"/>
      <c r="AO30" s="309" t="s">
        <v>507</v>
      </c>
      <c r="AP30" s="310"/>
      <c r="AQ30" s="310"/>
      <c r="AR30" s="310"/>
      <c r="AS30" s="310"/>
      <c r="AT30" s="311"/>
      <c r="AU30" s="122"/>
      <c r="AV30" s="122"/>
      <c r="AW30" s="122"/>
      <c r="AX30" s="122"/>
      <c r="AY30" s="122"/>
      <c r="AZ30" s="122"/>
      <c r="BA30" s="122"/>
      <c r="BB30" s="122"/>
      <c r="BC30" s="122"/>
      <c r="BD30" s="122"/>
      <c r="BE30" s="122"/>
      <c r="BF30" s="122"/>
      <c r="BG30" s="122"/>
      <c r="BH30" s="122"/>
      <c r="BI30" s="122"/>
    </row>
    <row r="31" spans="1:61" ht="15.75" customHeight="1">
      <c r="A31" s="122"/>
      <c r="B31" s="293"/>
      <c r="C31" s="224"/>
      <c r="D31" s="265"/>
      <c r="E31" s="223"/>
      <c r="F31" s="224"/>
      <c r="G31" s="224"/>
      <c r="H31" s="224"/>
      <c r="I31" s="224"/>
      <c r="J31" s="223"/>
      <c r="K31" s="224"/>
      <c r="L31" s="293"/>
      <c r="M31" s="224"/>
      <c r="N31" s="293"/>
      <c r="O31" s="265"/>
      <c r="P31" s="293"/>
      <c r="Q31" s="224"/>
      <c r="R31" s="293"/>
      <c r="S31" s="224"/>
      <c r="T31" s="293"/>
      <c r="U31" s="265"/>
      <c r="V31" s="223"/>
      <c r="W31" s="224"/>
      <c r="X31" s="293"/>
      <c r="Y31" s="224"/>
      <c r="Z31" s="293"/>
      <c r="AA31" s="265"/>
      <c r="AB31" s="223"/>
      <c r="AC31" s="224"/>
      <c r="AD31" s="293"/>
      <c r="AE31" s="224"/>
      <c r="AF31" s="293"/>
      <c r="AG31" s="265"/>
      <c r="AH31" s="223"/>
      <c r="AI31" s="224"/>
      <c r="AJ31" s="293"/>
      <c r="AK31" s="224"/>
      <c r="AL31" s="293"/>
      <c r="AM31" s="265"/>
      <c r="AN31" s="122"/>
      <c r="AO31" s="312"/>
      <c r="AP31" s="224"/>
      <c r="AQ31" s="224"/>
      <c r="AR31" s="224"/>
      <c r="AS31" s="224"/>
      <c r="AT31" s="313"/>
      <c r="AU31" s="122"/>
      <c r="AV31" s="122"/>
      <c r="AW31" s="122"/>
      <c r="AX31" s="122"/>
      <c r="AY31" s="122"/>
      <c r="AZ31" s="122"/>
      <c r="BA31" s="122"/>
      <c r="BB31" s="122"/>
      <c r="BC31" s="122"/>
      <c r="BD31" s="122"/>
      <c r="BE31" s="122"/>
      <c r="BF31" s="122"/>
      <c r="BG31" s="122"/>
      <c r="BH31" s="122"/>
      <c r="BI31" s="122"/>
    </row>
    <row r="32" spans="1:61" ht="15.75" customHeight="1">
      <c r="A32" s="122"/>
      <c r="B32" s="293"/>
      <c r="C32" s="224"/>
      <c r="D32" s="265"/>
      <c r="E32" s="223"/>
      <c r="F32" s="224"/>
      <c r="G32" s="224"/>
      <c r="H32" s="224"/>
      <c r="I32" s="224"/>
      <c r="J32" s="323" t="str">
        <f ca="1">IF(AND('Mapa de Riesgos de Corrupción'!$K$13="Baja",'Mapa de Riesgos de Corrupción'!$O$13="Leve"),CONCATENATE("R",'Mapa de Riesgos de Corrupción'!$A$13),"")</f>
        <v/>
      </c>
      <c r="K32" s="295"/>
      <c r="L32" s="320" t="str">
        <f ca="1">IF(AND('Mapa de Riesgos de Corrupción'!$K$16="Baja",'Mapa de Riesgos de Corrupción'!$O$16="Leve"),CONCATENATE("R",'Mapa de Riesgos de Corrupción'!$A$16),"")</f>
        <v/>
      </c>
      <c r="M32" s="295"/>
      <c r="N32" s="320" t="e">
        <f>IF(AND('Mapa de Riesgos de Corrupción'!#REF!="Baja",'Mapa de Riesgos de Corrupción'!#REF!="Leve"),CONCATENATE("R",'Mapa de Riesgos de Corrupción'!#REF!),"")</f>
        <v>#REF!</v>
      </c>
      <c r="O32" s="292"/>
      <c r="P32" s="307" t="str">
        <f ca="1">IF(AND('Mapa de Riesgos de Corrupción'!$K$13="Baja",'Mapa de Riesgos de Corrupción'!$O$13="Menor"),CONCATENATE("R",'Mapa de Riesgos de Corrupción'!$A$13),"")</f>
        <v/>
      </c>
      <c r="Q32" s="295"/>
      <c r="R32" s="307" t="str">
        <f ca="1">IF(AND('Mapa de Riesgos de Corrupción'!$K$16="Baja",'Mapa de Riesgos de Corrupción'!$O$16="Menor"),CONCATENATE("R",'Mapa de Riesgos de Corrupción'!$A$16),"")</f>
        <v/>
      </c>
      <c r="S32" s="295"/>
      <c r="T32" s="307" t="e">
        <f>IF(AND('Mapa de Riesgos de Corrupción'!#REF!="Baja",'Mapa de Riesgos de Corrupción'!#REF!="Menor"),CONCATENATE("R",'Mapa de Riesgos de Corrupción'!#REF!),"")</f>
        <v>#REF!</v>
      </c>
      <c r="U32" s="292"/>
      <c r="V32" s="308" t="str">
        <f ca="1">IF(AND('Mapa de Riesgos de Corrupción'!$K$13="Baja",'Mapa de Riesgos de Corrupción'!$O$13="Moderado"),CONCATENATE("R",'Mapa de Riesgos de Corrupción'!$A$13),"")</f>
        <v/>
      </c>
      <c r="W32" s="295"/>
      <c r="X32" s="307" t="str">
        <f ca="1">IF(AND('Mapa de Riesgos de Corrupción'!$K$16="Baja",'Mapa de Riesgos de Corrupción'!$O$16="Moderado"),CONCATENATE("R",'Mapa de Riesgos de Corrupción'!$A$16),"")</f>
        <v/>
      </c>
      <c r="Y32" s="295"/>
      <c r="Z32" s="307" t="e">
        <f>IF(AND('Mapa de Riesgos de Corrupción'!#REF!="Baja",'Mapa de Riesgos de Corrupción'!#REF!="Moderado"),CONCATENATE("R",'Mapa de Riesgos de Corrupción'!#REF!),"")</f>
        <v>#REF!</v>
      </c>
      <c r="AA32" s="292"/>
      <c r="AB32" s="294" t="str">
        <f ca="1">IF(AND('Mapa de Riesgos de Corrupción'!$K$13="Baja",'Mapa de Riesgos de Corrupción'!$O$13="Mayor"),CONCATENATE("R",'Mapa de Riesgos de Corrupción'!$A$13),"")</f>
        <v/>
      </c>
      <c r="AC32" s="295"/>
      <c r="AD32" s="291" t="str">
        <f ca="1">IF(AND('Mapa de Riesgos de Corrupción'!$K$16="Baja",'Mapa de Riesgos de Corrupción'!$O$16="Mayor"),CONCATENATE("R",'Mapa de Riesgos de Corrupción'!$A$16),"")</f>
        <v/>
      </c>
      <c r="AE32" s="295"/>
      <c r="AF32" s="291" t="e">
        <f>IF(AND('Mapa de Riesgos de Corrupción'!#REF!="Baja",'Mapa de Riesgos de Corrupción'!#REF!="Mayor"),CONCATENATE("R",'Mapa de Riesgos de Corrupción'!#REF!),"")</f>
        <v>#REF!</v>
      </c>
      <c r="AG32" s="292"/>
      <c r="AH32" s="296" t="str">
        <f ca="1">IF(AND('Mapa de Riesgos de Corrupción'!$K$13="Baja",'Mapa de Riesgos de Corrupción'!$O$13="Catastrófico"),CONCATENATE("R",'Mapa de Riesgos de Corrupción'!$A$13),"")</f>
        <v/>
      </c>
      <c r="AI32" s="295"/>
      <c r="AJ32" s="297" t="str">
        <f ca="1">IF(AND('Mapa de Riesgos de Corrupción'!$K$16="Baja",'Mapa de Riesgos de Corrupción'!$O$16="Catastrófico"),CONCATENATE("R",'Mapa de Riesgos de Corrupción'!$A$16),"")</f>
        <v/>
      </c>
      <c r="AK32" s="295"/>
      <c r="AL32" s="297" t="e">
        <f>IF(AND('Mapa de Riesgos de Corrupción'!#REF!="Baja",'Mapa de Riesgos de Corrupción'!#REF!="Catastrófico"),CONCATENATE("R",'Mapa de Riesgos de Corrupción'!#REF!),"")</f>
        <v>#REF!</v>
      </c>
      <c r="AM32" s="292"/>
      <c r="AN32" s="122"/>
      <c r="AO32" s="312"/>
      <c r="AP32" s="224"/>
      <c r="AQ32" s="224"/>
      <c r="AR32" s="224"/>
      <c r="AS32" s="224"/>
      <c r="AT32" s="313"/>
      <c r="AU32" s="122"/>
      <c r="AV32" s="122"/>
      <c r="AW32" s="122"/>
      <c r="AX32" s="122"/>
      <c r="AY32" s="122"/>
      <c r="AZ32" s="122"/>
      <c r="BA32" s="122"/>
      <c r="BB32" s="122"/>
      <c r="BC32" s="122"/>
      <c r="BD32" s="122"/>
      <c r="BE32" s="122"/>
      <c r="BF32" s="122"/>
      <c r="BG32" s="122"/>
      <c r="BH32" s="122"/>
      <c r="BI32" s="122"/>
    </row>
    <row r="33" spans="1:61" ht="15.75" customHeight="1">
      <c r="A33" s="122"/>
      <c r="B33" s="293"/>
      <c r="C33" s="224"/>
      <c r="D33" s="265"/>
      <c r="E33" s="223"/>
      <c r="F33" s="224"/>
      <c r="G33" s="224"/>
      <c r="H33" s="224"/>
      <c r="I33" s="224"/>
      <c r="J33" s="223"/>
      <c r="K33" s="224"/>
      <c r="L33" s="293"/>
      <c r="M33" s="224"/>
      <c r="N33" s="293"/>
      <c r="O33" s="265"/>
      <c r="P33" s="293"/>
      <c r="Q33" s="224"/>
      <c r="R33" s="293"/>
      <c r="S33" s="224"/>
      <c r="T33" s="293"/>
      <c r="U33" s="265"/>
      <c r="V33" s="223"/>
      <c r="W33" s="224"/>
      <c r="X33" s="293"/>
      <c r="Y33" s="224"/>
      <c r="Z33" s="293"/>
      <c r="AA33" s="265"/>
      <c r="AB33" s="223"/>
      <c r="AC33" s="224"/>
      <c r="AD33" s="293"/>
      <c r="AE33" s="224"/>
      <c r="AF33" s="293"/>
      <c r="AG33" s="265"/>
      <c r="AH33" s="223"/>
      <c r="AI33" s="224"/>
      <c r="AJ33" s="293"/>
      <c r="AK33" s="224"/>
      <c r="AL33" s="293"/>
      <c r="AM33" s="265"/>
      <c r="AN33" s="122"/>
      <c r="AO33" s="312"/>
      <c r="AP33" s="224"/>
      <c r="AQ33" s="224"/>
      <c r="AR33" s="224"/>
      <c r="AS33" s="224"/>
      <c r="AT33" s="313"/>
      <c r="AU33" s="122"/>
      <c r="AV33" s="122"/>
      <c r="AW33" s="122"/>
      <c r="AX33" s="122"/>
      <c r="AY33" s="122"/>
      <c r="AZ33" s="122"/>
      <c r="BA33" s="122"/>
      <c r="BB33" s="122"/>
      <c r="BC33" s="122"/>
      <c r="BD33" s="122"/>
      <c r="BE33" s="122"/>
      <c r="BF33" s="122"/>
      <c r="BG33" s="122"/>
      <c r="BH33" s="122"/>
      <c r="BI33" s="122"/>
    </row>
    <row r="34" spans="1:61" ht="15.75" customHeight="1">
      <c r="A34" s="122"/>
      <c r="B34" s="293"/>
      <c r="C34" s="224"/>
      <c r="D34" s="265"/>
      <c r="E34" s="223"/>
      <c r="F34" s="224"/>
      <c r="G34" s="224"/>
      <c r="H34" s="224"/>
      <c r="I34" s="224"/>
      <c r="J34" s="323" t="e">
        <f>IF(AND('Mapa de Riesgos de Corrupción'!#REF!="Baja",'Mapa de Riesgos de Corrupción'!#REF!="Leve"),CONCATENATE("R",'Mapa de Riesgos de Corrupción'!#REF!),"")</f>
        <v>#REF!</v>
      </c>
      <c r="K34" s="295"/>
      <c r="L34" s="320" t="e">
        <f>IF(AND('Mapa de Riesgos de Corrupción'!#REF!="Baja",'Mapa de Riesgos de Corrupción'!#REF!="Leve"),CONCATENATE("R",'Mapa de Riesgos de Corrupción'!#REF!),"")</f>
        <v>#REF!</v>
      </c>
      <c r="M34" s="295"/>
      <c r="N34" s="320" t="e">
        <f>IF(AND('Mapa de Riesgos de Corrupción'!#REF!="Baja",'Mapa de Riesgos de Corrupción'!#REF!="Leve"),CONCATENATE("R",'Mapa de Riesgos de Corrupción'!#REF!),"")</f>
        <v>#REF!</v>
      </c>
      <c r="O34" s="292"/>
      <c r="P34" s="307" t="e">
        <f>IF(AND('Mapa de Riesgos de Corrupción'!#REF!="Baja",'Mapa de Riesgos de Corrupción'!#REF!="Menor"),CONCATENATE("R",'Mapa de Riesgos de Corrupción'!#REF!),"")</f>
        <v>#REF!</v>
      </c>
      <c r="Q34" s="295"/>
      <c r="R34" s="307" t="e">
        <f>IF(AND('Mapa de Riesgos de Corrupción'!#REF!="Baja",'Mapa de Riesgos de Corrupción'!#REF!="Menor"),CONCATENATE("R",'Mapa de Riesgos de Corrupción'!#REF!),"")</f>
        <v>#REF!</v>
      </c>
      <c r="S34" s="295"/>
      <c r="T34" s="307" t="e">
        <f>IF(AND('Mapa de Riesgos de Corrupción'!#REF!="Baja",'Mapa de Riesgos de Corrupción'!#REF!="Menor"),CONCATENATE("R",'Mapa de Riesgos de Corrupción'!#REF!),"")</f>
        <v>#REF!</v>
      </c>
      <c r="U34" s="292"/>
      <c r="V34" s="308" t="e">
        <f>IF(AND('Mapa de Riesgos de Corrupción'!#REF!="Baja",'Mapa de Riesgos de Corrupción'!#REF!="Moderado"),CONCATENATE("R",'Mapa de Riesgos de Corrupción'!#REF!),"")</f>
        <v>#REF!</v>
      </c>
      <c r="W34" s="295"/>
      <c r="X34" s="307" t="e">
        <f>IF(AND('Mapa de Riesgos de Corrupción'!#REF!="Baja",'Mapa de Riesgos de Corrupción'!#REF!="Moderado"),CONCATENATE("R",'Mapa de Riesgos de Corrupción'!#REF!),"")</f>
        <v>#REF!</v>
      </c>
      <c r="Y34" s="295"/>
      <c r="Z34" s="307" t="e">
        <f>IF(AND('Mapa de Riesgos de Corrupción'!#REF!="Baja",'Mapa de Riesgos de Corrupción'!#REF!="Moderado"),CONCATENATE("R",'Mapa de Riesgos de Corrupción'!#REF!),"")</f>
        <v>#REF!</v>
      </c>
      <c r="AA34" s="292"/>
      <c r="AB34" s="294" t="e">
        <f>IF(AND('Mapa de Riesgos de Corrupción'!#REF!="Baja",'Mapa de Riesgos de Corrupción'!#REF!="Mayor"),CONCATENATE("R",'Mapa de Riesgos de Corrupción'!#REF!),"")</f>
        <v>#REF!</v>
      </c>
      <c r="AC34" s="295"/>
      <c r="AD34" s="291" t="e">
        <f>IF(AND('Mapa de Riesgos de Corrupción'!#REF!="Baja",'Mapa de Riesgos de Corrupción'!#REF!="Mayor"),CONCATENATE("R",'Mapa de Riesgos de Corrupción'!#REF!),"")</f>
        <v>#REF!</v>
      </c>
      <c r="AE34" s="295"/>
      <c r="AF34" s="291" t="e">
        <f>IF(AND('Mapa de Riesgos de Corrupción'!#REF!="Baja",'Mapa de Riesgos de Corrupción'!#REF!="Mayor"),CONCATENATE("R",'Mapa de Riesgos de Corrupción'!#REF!),"")</f>
        <v>#REF!</v>
      </c>
      <c r="AG34" s="292"/>
      <c r="AH34" s="296" t="e">
        <f>IF(AND('Mapa de Riesgos de Corrupción'!#REF!="Baja",'Mapa de Riesgos de Corrupción'!#REF!="Catastrófico"),CONCATENATE("R",'Mapa de Riesgos de Corrupción'!#REF!),"")</f>
        <v>#REF!</v>
      </c>
      <c r="AI34" s="295"/>
      <c r="AJ34" s="297" t="e">
        <f>IF(AND('Mapa de Riesgos de Corrupción'!#REF!="Baja",'Mapa de Riesgos de Corrupción'!#REF!="Catastrófico"),CONCATENATE("R",'Mapa de Riesgos de Corrupción'!#REF!),"")</f>
        <v>#REF!</v>
      </c>
      <c r="AK34" s="295"/>
      <c r="AL34" s="297" t="e">
        <f>IF(AND('Mapa de Riesgos de Corrupción'!#REF!="Baja",'Mapa de Riesgos de Corrupción'!#REF!="Catastrófico"),CONCATENATE("R",'Mapa de Riesgos de Corrupción'!#REF!),"")</f>
        <v>#REF!</v>
      </c>
      <c r="AM34" s="292"/>
      <c r="AN34" s="122"/>
      <c r="AO34" s="312"/>
      <c r="AP34" s="224"/>
      <c r="AQ34" s="224"/>
      <c r="AR34" s="224"/>
      <c r="AS34" s="224"/>
      <c r="AT34" s="313"/>
      <c r="AU34" s="122"/>
      <c r="AV34" s="122"/>
      <c r="AW34" s="122"/>
      <c r="AX34" s="122"/>
      <c r="AY34" s="122"/>
      <c r="AZ34" s="122"/>
      <c r="BA34" s="122"/>
      <c r="BB34" s="122"/>
      <c r="BC34" s="122"/>
      <c r="BD34" s="122"/>
      <c r="BE34" s="122"/>
      <c r="BF34" s="122"/>
      <c r="BG34" s="122"/>
      <c r="BH34" s="122"/>
      <c r="BI34" s="122"/>
    </row>
    <row r="35" spans="1:61" ht="15.75" customHeight="1">
      <c r="A35" s="122"/>
      <c r="B35" s="293"/>
      <c r="C35" s="224"/>
      <c r="D35" s="265"/>
      <c r="E35" s="223"/>
      <c r="F35" s="224"/>
      <c r="G35" s="224"/>
      <c r="H35" s="224"/>
      <c r="I35" s="224"/>
      <c r="J35" s="223"/>
      <c r="K35" s="224"/>
      <c r="L35" s="293"/>
      <c r="M35" s="224"/>
      <c r="N35" s="293"/>
      <c r="O35" s="265"/>
      <c r="P35" s="293"/>
      <c r="Q35" s="224"/>
      <c r="R35" s="293"/>
      <c r="S35" s="224"/>
      <c r="T35" s="293"/>
      <c r="U35" s="265"/>
      <c r="V35" s="223"/>
      <c r="W35" s="224"/>
      <c r="X35" s="293"/>
      <c r="Y35" s="224"/>
      <c r="Z35" s="293"/>
      <c r="AA35" s="265"/>
      <c r="AB35" s="223"/>
      <c r="AC35" s="224"/>
      <c r="AD35" s="293"/>
      <c r="AE35" s="224"/>
      <c r="AF35" s="293"/>
      <c r="AG35" s="265"/>
      <c r="AH35" s="223"/>
      <c r="AI35" s="224"/>
      <c r="AJ35" s="293"/>
      <c r="AK35" s="224"/>
      <c r="AL35" s="293"/>
      <c r="AM35" s="265"/>
      <c r="AN35" s="122"/>
      <c r="AO35" s="312"/>
      <c r="AP35" s="224"/>
      <c r="AQ35" s="224"/>
      <c r="AR35" s="224"/>
      <c r="AS35" s="224"/>
      <c r="AT35" s="313"/>
      <c r="AU35" s="122"/>
      <c r="AV35" s="122"/>
      <c r="AW35" s="122"/>
      <c r="AX35" s="122"/>
      <c r="AY35" s="122"/>
      <c r="AZ35" s="122"/>
      <c r="BA35" s="122"/>
      <c r="BB35" s="122"/>
      <c r="BC35" s="122"/>
      <c r="BD35" s="122"/>
      <c r="BE35" s="122"/>
      <c r="BF35" s="122"/>
      <c r="BG35" s="122"/>
      <c r="BH35" s="122"/>
      <c r="BI35" s="122"/>
    </row>
    <row r="36" spans="1:61" ht="15.75" customHeight="1">
      <c r="A36" s="122"/>
      <c r="B36" s="293"/>
      <c r="C36" s="224"/>
      <c r="D36" s="265"/>
      <c r="E36" s="223"/>
      <c r="F36" s="224"/>
      <c r="G36" s="224"/>
      <c r="H36" s="224"/>
      <c r="I36" s="224"/>
      <c r="J36" s="323" t="e">
        <f>IF(AND('Mapa de Riesgos de Corrupción'!#REF!="Baja",'Mapa de Riesgos de Corrupción'!#REF!="Leve"),CONCATENATE("R",'Mapa de Riesgos de Corrupción'!#REF!),"")</f>
        <v>#REF!</v>
      </c>
      <c r="K36" s="295"/>
      <c r="L36" s="320" t="e">
        <f>IF(AND('Mapa de Riesgos de Corrupción'!#REF!="Baja",'Mapa de Riesgos de Corrupción'!#REF!="Leve"),CONCATENATE("R",'Mapa de Riesgos de Corrupción'!#REF!),"")</f>
        <v>#REF!</v>
      </c>
      <c r="M36" s="295"/>
      <c r="N36" s="320" t="e">
        <f>IF(AND('Mapa de Riesgos de Corrupción'!#REF!="Baja",'Mapa de Riesgos de Corrupción'!#REF!="Leve"),CONCATENATE("R",'Mapa de Riesgos de Corrupción'!#REF!),"")</f>
        <v>#REF!</v>
      </c>
      <c r="O36" s="292"/>
      <c r="P36" s="307" t="e">
        <f>IF(AND('Mapa de Riesgos de Corrupción'!#REF!="Baja",'Mapa de Riesgos de Corrupción'!#REF!="Menor"),CONCATENATE("R",'Mapa de Riesgos de Corrupción'!#REF!),"")</f>
        <v>#REF!</v>
      </c>
      <c r="Q36" s="295"/>
      <c r="R36" s="307" t="e">
        <f>IF(AND('Mapa de Riesgos de Corrupción'!#REF!="Baja",'Mapa de Riesgos de Corrupción'!#REF!="Menor"),CONCATENATE("R",'Mapa de Riesgos de Corrupción'!#REF!),"")</f>
        <v>#REF!</v>
      </c>
      <c r="S36" s="295"/>
      <c r="T36" s="307" t="e">
        <f>IF(AND('Mapa de Riesgos de Corrupción'!#REF!="Baja",'Mapa de Riesgos de Corrupción'!#REF!="Menor"),CONCATENATE("R",'Mapa de Riesgos de Corrupción'!#REF!),"")</f>
        <v>#REF!</v>
      </c>
      <c r="U36" s="292"/>
      <c r="V36" s="308" t="e">
        <f>IF(AND('Mapa de Riesgos de Corrupción'!#REF!="Baja",'Mapa de Riesgos de Corrupción'!#REF!="Moderado"),CONCATENATE("R",'Mapa de Riesgos de Corrupción'!#REF!),"")</f>
        <v>#REF!</v>
      </c>
      <c r="W36" s="295"/>
      <c r="X36" s="307" t="e">
        <f>IF(AND('Mapa de Riesgos de Corrupción'!#REF!="Baja",'Mapa de Riesgos de Corrupción'!#REF!="Moderado"),CONCATENATE("R",'Mapa de Riesgos de Corrupción'!#REF!),"")</f>
        <v>#REF!</v>
      </c>
      <c r="Y36" s="295"/>
      <c r="Z36" s="307" t="e">
        <f>IF(AND('Mapa de Riesgos de Corrupción'!#REF!="Baja",'Mapa de Riesgos de Corrupción'!#REF!="Moderado"),CONCATENATE("R",'Mapa de Riesgos de Corrupción'!#REF!),"")</f>
        <v>#REF!</v>
      </c>
      <c r="AA36" s="292"/>
      <c r="AB36" s="294" t="e">
        <f>IF(AND('Mapa de Riesgos de Corrupción'!#REF!="Baja",'Mapa de Riesgos de Corrupción'!#REF!="Mayor"),CONCATENATE("R",'Mapa de Riesgos de Corrupción'!#REF!),"")</f>
        <v>#REF!</v>
      </c>
      <c r="AC36" s="295"/>
      <c r="AD36" s="291" t="e">
        <f>IF(AND('Mapa de Riesgos de Corrupción'!#REF!="Baja",'Mapa de Riesgos de Corrupción'!#REF!="Mayor"),CONCATENATE("R",'Mapa de Riesgos de Corrupción'!#REF!),"")</f>
        <v>#REF!</v>
      </c>
      <c r="AE36" s="295"/>
      <c r="AF36" s="291" t="e">
        <f>IF(AND('Mapa de Riesgos de Corrupción'!#REF!="Baja",'Mapa de Riesgos de Corrupción'!#REF!="Mayor"),CONCATENATE("R",'Mapa de Riesgos de Corrupción'!#REF!),"")</f>
        <v>#REF!</v>
      </c>
      <c r="AG36" s="292"/>
      <c r="AH36" s="296" t="e">
        <f>IF(AND('Mapa de Riesgos de Corrupción'!#REF!="Baja",'Mapa de Riesgos de Corrupción'!#REF!="Catastrófico"),CONCATENATE("R",'Mapa de Riesgos de Corrupción'!#REF!),"")</f>
        <v>#REF!</v>
      </c>
      <c r="AI36" s="295"/>
      <c r="AJ36" s="297" t="e">
        <f>IF(AND('Mapa de Riesgos de Corrupción'!#REF!="Baja",'Mapa de Riesgos de Corrupción'!#REF!="Catastrófico"),CONCATENATE("R",'Mapa de Riesgos de Corrupción'!#REF!),"")</f>
        <v>#REF!</v>
      </c>
      <c r="AK36" s="295"/>
      <c r="AL36" s="297" t="e">
        <f>IF(AND('Mapa de Riesgos de Corrupción'!#REF!="Baja",'Mapa de Riesgos de Corrupción'!#REF!="Catastrófico"),CONCATENATE("R",'Mapa de Riesgos de Corrupción'!#REF!),"")</f>
        <v>#REF!</v>
      </c>
      <c r="AM36" s="292"/>
      <c r="AN36" s="122"/>
      <c r="AO36" s="312"/>
      <c r="AP36" s="224"/>
      <c r="AQ36" s="224"/>
      <c r="AR36" s="224"/>
      <c r="AS36" s="224"/>
      <c r="AT36" s="313"/>
      <c r="AU36" s="122"/>
      <c r="AV36" s="122"/>
      <c r="AW36" s="122"/>
      <c r="AX36" s="122"/>
      <c r="AY36" s="122"/>
      <c r="AZ36" s="122"/>
      <c r="BA36" s="122"/>
      <c r="BB36" s="122"/>
      <c r="BC36" s="122"/>
      <c r="BD36" s="122"/>
      <c r="BE36" s="122"/>
      <c r="BF36" s="122"/>
      <c r="BG36" s="122"/>
      <c r="BH36" s="122"/>
      <c r="BI36" s="122"/>
    </row>
    <row r="37" spans="1:61" ht="15.75" customHeight="1">
      <c r="A37" s="122"/>
      <c r="B37" s="293"/>
      <c r="C37" s="224"/>
      <c r="D37" s="265"/>
      <c r="E37" s="225"/>
      <c r="F37" s="226"/>
      <c r="G37" s="226"/>
      <c r="H37" s="226"/>
      <c r="I37" s="226"/>
      <c r="J37" s="225"/>
      <c r="K37" s="226"/>
      <c r="L37" s="300"/>
      <c r="M37" s="226"/>
      <c r="N37" s="300"/>
      <c r="O37" s="301"/>
      <c r="P37" s="300"/>
      <c r="Q37" s="226"/>
      <c r="R37" s="300"/>
      <c r="S37" s="226"/>
      <c r="T37" s="300"/>
      <c r="U37" s="301"/>
      <c r="V37" s="225"/>
      <c r="W37" s="226"/>
      <c r="X37" s="300"/>
      <c r="Y37" s="226"/>
      <c r="Z37" s="300"/>
      <c r="AA37" s="301"/>
      <c r="AB37" s="225"/>
      <c r="AC37" s="226"/>
      <c r="AD37" s="300"/>
      <c r="AE37" s="226"/>
      <c r="AF37" s="300"/>
      <c r="AG37" s="301"/>
      <c r="AH37" s="225"/>
      <c r="AI37" s="226"/>
      <c r="AJ37" s="300"/>
      <c r="AK37" s="226"/>
      <c r="AL37" s="300"/>
      <c r="AM37" s="301"/>
      <c r="AN37" s="122"/>
      <c r="AO37" s="314"/>
      <c r="AP37" s="315"/>
      <c r="AQ37" s="315"/>
      <c r="AR37" s="315"/>
      <c r="AS37" s="315"/>
      <c r="AT37" s="316"/>
      <c r="AU37" s="122"/>
      <c r="AV37" s="122"/>
      <c r="AW37" s="122"/>
      <c r="AX37" s="122"/>
      <c r="AY37" s="122"/>
      <c r="AZ37" s="122"/>
      <c r="BA37" s="122"/>
      <c r="BB37" s="122"/>
      <c r="BC37" s="122"/>
      <c r="BD37" s="122"/>
      <c r="BE37" s="122"/>
      <c r="BF37" s="122"/>
      <c r="BG37" s="122"/>
      <c r="BH37" s="122"/>
      <c r="BI37" s="122"/>
    </row>
    <row r="38" spans="1:61" ht="15.75" customHeight="1">
      <c r="A38" s="122"/>
      <c r="B38" s="293"/>
      <c r="C38" s="224"/>
      <c r="D38" s="265"/>
      <c r="E38" s="321" t="s">
        <v>508</v>
      </c>
      <c r="F38" s="222"/>
      <c r="G38" s="222"/>
      <c r="H38" s="222"/>
      <c r="I38" s="303"/>
      <c r="J38" s="322" t="e">
        <f>IF(AND('Mapa de Riesgos de Corrupción'!#REF!="Muy Baja",'Mapa de Riesgos de Corrupción'!#REF!="Leve"),CONCATENATE("R",'Mapa de Riesgos de Corrupción'!#REF!),"")</f>
        <v>#REF!</v>
      </c>
      <c r="K38" s="222"/>
      <c r="L38" s="324" t="e">
        <f>IF(AND('Mapa de Riesgos de Corrupción'!#REF!="Muy Baja",'Mapa de Riesgos de Corrupción'!#REF!="Leve"),CONCATENATE("R",'Mapa de Riesgos de Corrupción'!#REF!),"")</f>
        <v>#REF!</v>
      </c>
      <c r="M38" s="222"/>
      <c r="N38" s="324" t="e">
        <f>IF(AND('Mapa de Riesgos de Corrupción'!#REF!="Muy Baja",'Mapa de Riesgos de Corrupción'!#REF!="Leve"),CONCATENATE("R",'Mapa de Riesgos de Corrupción'!#REF!),"")</f>
        <v>#REF!</v>
      </c>
      <c r="O38" s="303"/>
      <c r="P38" s="322" t="e">
        <f>IF(AND('Mapa de Riesgos de Corrupción'!#REF!="Muy Baja",'Mapa de Riesgos de Corrupción'!#REF!="Menor"),CONCATENATE("R",'Mapa de Riesgos de Corrupción'!#REF!),"")</f>
        <v>#REF!</v>
      </c>
      <c r="Q38" s="222"/>
      <c r="R38" s="324" t="e">
        <f>IF(AND('Mapa de Riesgos de Corrupción'!#REF!="Muy Baja",'Mapa de Riesgos de Corrupción'!#REF!="Menor"),CONCATENATE("R",'Mapa de Riesgos de Corrupción'!#REF!),"")</f>
        <v>#REF!</v>
      </c>
      <c r="S38" s="222"/>
      <c r="T38" s="324" t="e">
        <f>IF(AND('Mapa de Riesgos de Corrupción'!#REF!="Muy Baja",'Mapa de Riesgos de Corrupción'!#REF!="Menor"),CONCATENATE("R",'Mapa de Riesgos de Corrupción'!#REF!),"")</f>
        <v>#REF!</v>
      </c>
      <c r="U38" s="303"/>
      <c r="V38" s="304" t="e">
        <f>IF(AND('Mapa de Riesgos de Corrupción'!#REF!="Muy Baja",'Mapa de Riesgos de Corrupción'!#REF!="Moderado"),CONCATENATE("R",'Mapa de Riesgos de Corrupción'!#REF!),"")</f>
        <v>#REF!</v>
      </c>
      <c r="W38" s="222"/>
      <c r="X38" s="302" t="e">
        <f>IF(AND('Mapa de Riesgos de Corrupción'!#REF!="Muy Baja",'Mapa de Riesgos de Corrupción'!#REF!="Moderado"),CONCATENATE("R",'Mapa de Riesgos de Corrupción'!#REF!),"")</f>
        <v>#REF!</v>
      </c>
      <c r="Y38" s="222"/>
      <c r="Z38" s="302" t="e">
        <f>IF(AND('Mapa de Riesgos de Corrupción'!#REF!="Muy Baja",'Mapa de Riesgos de Corrupción'!#REF!="Moderado"),CONCATENATE("R",'Mapa de Riesgos de Corrupción'!#REF!),"")</f>
        <v>#REF!</v>
      </c>
      <c r="AA38" s="303"/>
      <c r="AB38" s="298" t="e">
        <f>IF(AND('Mapa de Riesgos de Corrupción'!#REF!="Muy Baja",'Mapa de Riesgos de Corrupción'!#REF!="Mayor"),CONCATENATE("R",'Mapa de Riesgos de Corrupción'!#REF!),"")</f>
        <v>#REF!</v>
      </c>
      <c r="AC38" s="222"/>
      <c r="AD38" s="299" t="e">
        <f>IF(AND('Mapa de Riesgos de Corrupción'!#REF!="Muy Baja",'Mapa de Riesgos de Corrupción'!#REF!="Mayor"),CONCATENATE("R",'Mapa de Riesgos de Corrupción'!#REF!),"")</f>
        <v>#REF!</v>
      </c>
      <c r="AE38" s="222"/>
      <c r="AF38" s="299" t="e">
        <f>IF(AND('Mapa de Riesgos de Corrupción'!#REF!="Muy Baja",'Mapa de Riesgos de Corrupción'!#REF!="Mayor"),CONCATENATE("R",'Mapa de Riesgos de Corrupción'!#REF!),"")</f>
        <v>#REF!</v>
      </c>
      <c r="AG38" s="303"/>
      <c r="AH38" s="305" t="e">
        <f>IF(AND('Mapa de Riesgos de Corrupción'!#REF!="Muy Baja",'Mapa de Riesgos de Corrupción'!#REF!="Catastrófico"),CONCATENATE("R",'Mapa de Riesgos de Corrupción'!#REF!),"")</f>
        <v>#REF!</v>
      </c>
      <c r="AI38" s="222"/>
      <c r="AJ38" s="306" t="e">
        <f>IF(AND('Mapa de Riesgos de Corrupción'!#REF!="Muy Baja",'Mapa de Riesgos de Corrupción'!#REF!="Catastrófico"),CONCATENATE("R",'Mapa de Riesgos de Corrupción'!#REF!),"")</f>
        <v>#REF!</v>
      </c>
      <c r="AK38" s="222"/>
      <c r="AL38" s="306" t="e">
        <f>IF(AND('Mapa de Riesgos de Corrupción'!#REF!="Muy Baja",'Mapa de Riesgos de Corrupción'!#REF!="Catastrófico"),CONCATENATE("R",'Mapa de Riesgos de Corrupción'!#REF!),"")</f>
        <v>#REF!</v>
      </c>
      <c r="AM38" s="303"/>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row>
    <row r="39" spans="1:61" ht="15.75" customHeight="1">
      <c r="A39" s="122"/>
      <c r="B39" s="293"/>
      <c r="C39" s="224"/>
      <c r="D39" s="265"/>
      <c r="E39" s="223"/>
      <c r="F39" s="224"/>
      <c r="G39" s="224"/>
      <c r="H39" s="224"/>
      <c r="I39" s="265"/>
      <c r="J39" s="223"/>
      <c r="K39" s="224"/>
      <c r="L39" s="293"/>
      <c r="M39" s="224"/>
      <c r="N39" s="293"/>
      <c r="O39" s="265"/>
      <c r="P39" s="223"/>
      <c r="Q39" s="224"/>
      <c r="R39" s="293"/>
      <c r="S39" s="224"/>
      <c r="T39" s="293"/>
      <c r="U39" s="265"/>
      <c r="V39" s="223"/>
      <c r="W39" s="224"/>
      <c r="X39" s="293"/>
      <c r="Y39" s="224"/>
      <c r="Z39" s="293"/>
      <c r="AA39" s="265"/>
      <c r="AB39" s="223"/>
      <c r="AC39" s="224"/>
      <c r="AD39" s="293"/>
      <c r="AE39" s="224"/>
      <c r="AF39" s="293"/>
      <c r="AG39" s="265"/>
      <c r="AH39" s="223"/>
      <c r="AI39" s="224"/>
      <c r="AJ39" s="293"/>
      <c r="AK39" s="224"/>
      <c r="AL39" s="293"/>
      <c r="AM39" s="265"/>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row>
    <row r="40" spans="1:61" ht="15.75" customHeight="1">
      <c r="A40" s="122"/>
      <c r="B40" s="293"/>
      <c r="C40" s="224"/>
      <c r="D40" s="265"/>
      <c r="E40" s="223"/>
      <c r="F40" s="224"/>
      <c r="G40" s="224"/>
      <c r="H40" s="224"/>
      <c r="I40" s="265"/>
      <c r="J40" s="323" t="str">
        <f ca="1">IF(AND('Mapa de Riesgos de Corrupción'!$K$13="Muy Baja",'Mapa de Riesgos de Corrupción'!$O$13="Leve"),CONCATENATE("R",'Mapa de Riesgos de Corrupción'!$A$13),"")</f>
        <v/>
      </c>
      <c r="K40" s="295"/>
      <c r="L40" s="320" t="str">
        <f ca="1">IF(AND('Mapa de Riesgos de Corrupción'!$K$16="Muy Baja",'Mapa de Riesgos de Corrupción'!$O$16="Leve"),CONCATENATE("R",'Mapa de Riesgos de Corrupción'!$A$16),"")</f>
        <v/>
      </c>
      <c r="M40" s="295"/>
      <c r="N40" s="320" t="e">
        <f>IF(AND('Mapa de Riesgos de Corrupción'!#REF!="Muy Baja",'Mapa de Riesgos de Corrupción'!#REF!="Leve"),CONCATENATE("R",'Mapa de Riesgos de Corrupción'!#REF!),"")</f>
        <v>#REF!</v>
      </c>
      <c r="O40" s="292"/>
      <c r="P40" s="323" t="str">
        <f ca="1">IF(AND('Mapa de Riesgos de Corrupción'!$K$13="Muy Baja",'Mapa de Riesgos de Corrupción'!$O$13="Menor"),CONCATENATE("R",'Mapa de Riesgos de Corrupción'!$A$13),"")</f>
        <v/>
      </c>
      <c r="Q40" s="295"/>
      <c r="R40" s="320" t="str">
        <f ca="1">IF(AND('Mapa de Riesgos de Corrupción'!$K$16="Muy Baja",'Mapa de Riesgos de Corrupción'!$O$16="Menor"),CONCATENATE("R",'Mapa de Riesgos de Corrupción'!$A$16),"")</f>
        <v/>
      </c>
      <c r="S40" s="295"/>
      <c r="T40" s="320" t="e">
        <f>IF(AND('Mapa de Riesgos de Corrupción'!#REF!="Muy Baja",'Mapa de Riesgos de Corrupción'!#REF!="Menor"),CONCATENATE("R",'Mapa de Riesgos de Corrupción'!#REF!),"")</f>
        <v>#REF!</v>
      </c>
      <c r="U40" s="292"/>
      <c r="V40" s="308" t="str">
        <f ca="1">IF(AND('Mapa de Riesgos de Corrupción'!$K$13="Muy Baja",'Mapa de Riesgos de Corrupción'!$O$13="Moderado"),CONCATENATE("R",'Mapa de Riesgos de Corrupción'!$A$13),"")</f>
        <v/>
      </c>
      <c r="W40" s="295"/>
      <c r="X40" s="307" t="str">
        <f ca="1">IF(AND('Mapa de Riesgos de Corrupción'!$K$16="Muy Baja",'Mapa de Riesgos de Corrupción'!$O$16="Moderado"),CONCATENATE("R",'Mapa de Riesgos de Corrupción'!$A$16),"")</f>
        <v/>
      </c>
      <c r="Y40" s="295"/>
      <c r="Z40" s="307" t="e">
        <f>IF(AND('Mapa de Riesgos de Corrupción'!#REF!="Muy Baja",'Mapa de Riesgos de Corrupción'!#REF!="Moderado"),CONCATENATE("R",'Mapa de Riesgos de Corrupción'!#REF!),"")</f>
        <v>#REF!</v>
      </c>
      <c r="AA40" s="292"/>
      <c r="AB40" s="294" t="str">
        <f ca="1">IF(AND('Mapa de Riesgos de Corrupción'!$K$13="Muy Baja",'Mapa de Riesgos de Corrupción'!$O$13="Mayor"),CONCATENATE("R",'Mapa de Riesgos de Corrupción'!$A$13),"")</f>
        <v/>
      </c>
      <c r="AC40" s="295"/>
      <c r="AD40" s="291" t="str">
        <f ca="1">IF(AND('Mapa de Riesgos de Corrupción'!$K$16="Muy Baja",'Mapa de Riesgos de Corrupción'!$O$16="Mayor"),CONCATENATE("R",'Mapa de Riesgos de Corrupción'!$A$16),"")</f>
        <v/>
      </c>
      <c r="AE40" s="295"/>
      <c r="AF40" s="291" t="e">
        <f>IF(AND('Mapa de Riesgos de Corrupción'!#REF!="Muy Baja",'Mapa de Riesgos de Corrupción'!#REF!="Mayor"),CONCATENATE("R",'Mapa de Riesgos de Corrupción'!#REF!),"")</f>
        <v>#REF!</v>
      </c>
      <c r="AG40" s="292"/>
      <c r="AH40" s="296" t="str">
        <f ca="1">IF(AND('Mapa de Riesgos de Corrupción'!$K$13="Muy Baja",'Mapa de Riesgos de Corrupción'!$O$13="Catastrófico"),CONCATENATE("R",'Mapa de Riesgos de Corrupción'!$A$13),"")</f>
        <v/>
      </c>
      <c r="AI40" s="295"/>
      <c r="AJ40" s="297" t="str">
        <f ca="1">IF(AND('Mapa de Riesgos de Corrupción'!$K$16="Muy Baja",'Mapa de Riesgos de Corrupción'!$O$16="Catastrófico"),CONCATENATE("R",'Mapa de Riesgos de Corrupción'!$A$16),"")</f>
        <v/>
      </c>
      <c r="AK40" s="295"/>
      <c r="AL40" s="297" t="e">
        <f>IF(AND('Mapa de Riesgos de Corrupción'!#REF!="Muy Baja",'Mapa de Riesgos de Corrupción'!#REF!="Catastrófico"),CONCATENATE("R",'Mapa de Riesgos de Corrupción'!#REF!),"")</f>
        <v>#REF!</v>
      </c>
      <c r="AM40" s="29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row>
    <row r="41" spans="1:61" ht="15.75" customHeight="1">
      <c r="A41" s="122"/>
      <c r="B41" s="293"/>
      <c r="C41" s="224"/>
      <c r="D41" s="265"/>
      <c r="E41" s="223"/>
      <c r="F41" s="224"/>
      <c r="G41" s="224"/>
      <c r="H41" s="224"/>
      <c r="I41" s="265"/>
      <c r="J41" s="223"/>
      <c r="K41" s="224"/>
      <c r="L41" s="293"/>
      <c r="M41" s="224"/>
      <c r="N41" s="293"/>
      <c r="O41" s="265"/>
      <c r="P41" s="223"/>
      <c r="Q41" s="224"/>
      <c r="R41" s="293"/>
      <c r="S41" s="224"/>
      <c r="T41" s="293"/>
      <c r="U41" s="265"/>
      <c r="V41" s="223"/>
      <c r="W41" s="224"/>
      <c r="X41" s="293"/>
      <c r="Y41" s="224"/>
      <c r="Z41" s="293"/>
      <c r="AA41" s="265"/>
      <c r="AB41" s="223"/>
      <c r="AC41" s="224"/>
      <c r="AD41" s="293"/>
      <c r="AE41" s="224"/>
      <c r="AF41" s="293"/>
      <c r="AG41" s="265"/>
      <c r="AH41" s="223"/>
      <c r="AI41" s="224"/>
      <c r="AJ41" s="293"/>
      <c r="AK41" s="224"/>
      <c r="AL41" s="293"/>
      <c r="AM41" s="265"/>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row>
    <row r="42" spans="1:61" ht="15.75" customHeight="1">
      <c r="A42" s="122"/>
      <c r="B42" s="293"/>
      <c r="C42" s="224"/>
      <c r="D42" s="265"/>
      <c r="E42" s="223"/>
      <c r="F42" s="224"/>
      <c r="G42" s="224"/>
      <c r="H42" s="224"/>
      <c r="I42" s="265"/>
      <c r="J42" s="323" t="e">
        <f>IF(AND('Mapa de Riesgos de Corrupción'!#REF!="Muy Baja",'Mapa de Riesgos de Corrupción'!#REF!="Leve"),CONCATENATE("R",'Mapa de Riesgos de Corrupción'!#REF!),"")</f>
        <v>#REF!</v>
      </c>
      <c r="K42" s="295"/>
      <c r="L42" s="320" t="e">
        <f>IF(AND('Mapa de Riesgos de Corrupción'!#REF!="Muy Baja",'Mapa de Riesgos de Corrupción'!#REF!="Leve"),CONCATENATE("R",'Mapa de Riesgos de Corrupción'!#REF!),"")</f>
        <v>#REF!</v>
      </c>
      <c r="M42" s="295"/>
      <c r="N42" s="320" t="e">
        <f>IF(AND('Mapa de Riesgos de Corrupción'!#REF!="Muy Baja",'Mapa de Riesgos de Corrupción'!#REF!="Leve"),CONCATENATE("R",'Mapa de Riesgos de Corrupción'!#REF!),"")</f>
        <v>#REF!</v>
      </c>
      <c r="O42" s="292"/>
      <c r="P42" s="323" t="e">
        <f>IF(AND('Mapa de Riesgos de Corrupción'!#REF!="Muy Baja",'Mapa de Riesgos de Corrupción'!#REF!="Menor"),CONCATENATE("R",'Mapa de Riesgos de Corrupción'!#REF!),"")</f>
        <v>#REF!</v>
      </c>
      <c r="Q42" s="295"/>
      <c r="R42" s="320" t="e">
        <f>IF(AND('Mapa de Riesgos de Corrupción'!#REF!="Muy Baja",'Mapa de Riesgos de Corrupción'!#REF!="Menor"),CONCATENATE("R",'Mapa de Riesgos de Corrupción'!#REF!),"")</f>
        <v>#REF!</v>
      </c>
      <c r="S42" s="295"/>
      <c r="T42" s="320" t="e">
        <f>IF(AND('Mapa de Riesgos de Corrupción'!#REF!="Muy Baja",'Mapa de Riesgos de Corrupción'!#REF!="Menor"),CONCATENATE("R",'Mapa de Riesgos de Corrupción'!#REF!),"")</f>
        <v>#REF!</v>
      </c>
      <c r="U42" s="292"/>
      <c r="V42" s="308" t="e">
        <f>IF(AND('Mapa de Riesgos de Corrupción'!#REF!="Muy Baja",'Mapa de Riesgos de Corrupción'!#REF!="Moderado"),CONCATENATE("R",'Mapa de Riesgos de Corrupción'!#REF!),"")</f>
        <v>#REF!</v>
      </c>
      <c r="W42" s="295"/>
      <c r="X42" s="307" t="e">
        <f>IF(AND('Mapa de Riesgos de Corrupción'!#REF!="Muy Baja",'Mapa de Riesgos de Corrupción'!#REF!="Moderado"),CONCATENATE("R",'Mapa de Riesgos de Corrupción'!#REF!),"")</f>
        <v>#REF!</v>
      </c>
      <c r="Y42" s="295"/>
      <c r="Z42" s="307" t="e">
        <f>IF(AND('Mapa de Riesgos de Corrupción'!#REF!="Muy Baja",'Mapa de Riesgos de Corrupción'!#REF!="Moderado"),CONCATENATE("R",'Mapa de Riesgos de Corrupción'!#REF!),"")</f>
        <v>#REF!</v>
      </c>
      <c r="AA42" s="292"/>
      <c r="AB42" s="294" t="e">
        <f>IF(AND('Mapa de Riesgos de Corrupción'!#REF!="Muy Baja",'Mapa de Riesgos de Corrupción'!#REF!="Mayor"),CONCATENATE("R",'Mapa de Riesgos de Corrupción'!#REF!),"")</f>
        <v>#REF!</v>
      </c>
      <c r="AC42" s="295"/>
      <c r="AD42" s="291" t="e">
        <f>IF(AND('Mapa de Riesgos de Corrupción'!#REF!="Muy Baja",'Mapa de Riesgos de Corrupción'!#REF!="Mayor"),CONCATENATE("R",'Mapa de Riesgos de Corrupción'!#REF!),"")</f>
        <v>#REF!</v>
      </c>
      <c r="AE42" s="295"/>
      <c r="AF42" s="291" t="e">
        <f>IF(AND('Mapa de Riesgos de Corrupción'!#REF!="Muy Baja",'Mapa de Riesgos de Corrupción'!#REF!="Mayor"),CONCATENATE("R",'Mapa de Riesgos de Corrupción'!#REF!),"")</f>
        <v>#REF!</v>
      </c>
      <c r="AG42" s="292"/>
      <c r="AH42" s="296" t="e">
        <f>IF(AND('Mapa de Riesgos de Corrupción'!#REF!="Muy Baja",'Mapa de Riesgos de Corrupción'!#REF!="Catastrófico"),CONCATENATE("R",'Mapa de Riesgos de Corrupción'!#REF!),"")</f>
        <v>#REF!</v>
      </c>
      <c r="AI42" s="295"/>
      <c r="AJ42" s="297" t="e">
        <f>IF(AND('Mapa de Riesgos de Corrupción'!#REF!="Muy Baja",'Mapa de Riesgos de Corrupción'!#REF!="Catastrófico"),CONCATENATE("R",'Mapa de Riesgos de Corrupción'!#REF!),"")</f>
        <v>#REF!</v>
      </c>
      <c r="AK42" s="295"/>
      <c r="AL42" s="297" t="e">
        <f>IF(AND('Mapa de Riesgos de Corrupción'!#REF!="Muy Baja",'Mapa de Riesgos de Corrupción'!#REF!="Catastrófico"),CONCATENATE("R",'Mapa de Riesgos de Corrupción'!#REF!),"")</f>
        <v>#REF!</v>
      </c>
      <c r="AM42" s="29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row>
    <row r="43" spans="1:61" ht="15.75" customHeight="1">
      <c r="A43" s="122"/>
      <c r="B43" s="293"/>
      <c r="C43" s="224"/>
      <c r="D43" s="265"/>
      <c r="E43" s="223"/>
      <c r="F43" s="224"/>
      <c r="G43" s="224"/>
      <c r="H43" s="224"/>
      <c r="I43" s="265"/>
      <c r="J43" s="223"/>
      <c r="K43" s="224"/>
      <c r="L43" s="293"/>
      <c r="M43" s="224"/>
      <c r="N43" s="293"/>
      <c r="O43" s="265"/>
      <c r="P43" s="223"/>
      <c r="Q43" s="224"/>
      <c r="R43" s="293"/>
      <c r="S43" s="224"/>
      <c r="T43" s="293"/>
      <c r="U43" s="265"/>
      <c r="V43" s="223"/>
      <c r="W43" s="224"/>
      <c r="X43" s="293"/>
      <c r="Y43" s="224"/>
      <c r="Z43" s="293"/>
      <c r="AA43" s="265"/>
      <c r="AB43" s="223"/>
      <c r="AC43" s="224"/>
      <c r="AD43" s="293"/>
      <c r="AE43" s="224"/>
      <c r="AF43" s="293"/>
      <c r="AG43" s="265"/>
      <c r="AH43" s="223"/>
      <c r="AI43" s="224"/>
      <c r="AJ43" s="293"/>
      <c r="AK43" s="224"/>
      <c r="AL43" s="293"/>
      <c r="AM43" s="265"/>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1:61" ht="15.75" customHeight="1">
      <c r="A44" s="122"/>
      <c r="B44" s="293"/>
      <c r="C44" s="224"/>
      <c r="D44" s="265"/>
      <c r="E44" s="223"/>
      <c r="F44" s="224"/>
      <c r="G44" s="224"/>
      <c r="H44" s="224"/>
      <c r="I44" s="265"/>
      <c r="J44" s="323" t="e">
        <f>IF(AND('Mapa de Riesgos de Corrupción'!#REF!="Muy Baja",'Mapa de Riesgos de Corrupción'!#REF!="Leve"),CONCATENATE("R",'Mapa de Riesgos de Corrupción'!#REF!),"")</f>
        <v>#REF!</v>
      </c>
      <c r="K44" s="295"/>
      <c r="L44" s="320" t="e">
        <f>IF(AND('Mapa de Riesgos de Corrupción'!#REF!="Muy Baja",'Mapa de Riesgos de Corrupción'!#REF!="Leve"),CONCATENATE("R",'Mapa de Riesgos de Corrupción'!#REF!),"")</f>
        <v>#REF!</v>
      </c>
      <c r="M44" s="295"/>
      <c r="N44" s="320" t="e">
        <f>IF(AND('Mapa de Riesgos de Corrupción'!#REF!="Muy Baja",'Mapa de Riesgos de Corrupción'!#REF!="Leve"),CONCATENATE("R",'Mapa de Riesgos de Corrupción'!#REF!),"")</f>
        <v>#REF!</v>
      </c>
      <c r="O44" s="292"/>
      <c r="P44" s="323" t="e">
        <f>IF(AND('Mapa de Riesgos de Corrupción'!#REF!="Muy Baja",'Mapa de Riesgos de Corrupción'!#REF!="Menor"),CONCATENATE("R",'Mapa de Riesgos de Corrupción'!#REF!),"")</f>
        <v>#REF!</v>
      </c>
      <c r="Q44" s="295"/>
      <c r="R44" s="320" t="e">
        <f>IF(AND('Mapa de Riesgos de Corrupción'!#REF!="Muy Baja",'Mapa de Riesgos de Corrupción'!#REF!="Menor"),CONCATENATE("R",'Mapa de Riesgos de Corrupción'!#REF!),"")</f>
        <v>#REF!</v>
      </c>
      <c r="S44" s="295"/>
      <c r="T44" s="320" t="e">
        <f>IF(AND('Mapa de Riesgos de Corrupción'!#REF!="Muy Baja",'Mapa de Riesgos de Corrupción'!#REF!="Menor"),CONCATENATE("R",'Mapa de Riesgos de Corrupción'!#REF!),"")</f>
        <v>#REF!</v>
      </c>
      <c r="U44" s="292"/>
      <c r="V44" s="308" t="e">
        <f>IF(AND('Mapa de Riesgos de Corrupción'!#REF!="Muy Baja",'Mapa de Riesgos de Corrupción'!#REF!="Moderado"),CONCATENATE("R",'Mapa de Riesgos de Corrupción'!#REF!),"")</f>
        <v>#REF!</v>
      </c>
      <c r="W44" s="295"/>
      <c r="X44" s="307" t="e">
        <f>IF(AND('Mapa de Riesgos de Corrupción'!#REF!="Muy Baja",'Mapa de Riesgos de Corrupción'!#REF!="Moderado"),CONCATENATE("R",'Mapa de Riesgos de Corrupción'!#REF!),"")</f>
        <v>#REF!</v>
      </c>
      <c r="Y44" s="295"/>
      <c r="Z44" s="307" t="e">
        <f>IF(AND('Mapa de Riesgos de Corrupción'!#REF!="Muy Baja",'Mapa de Riesgos de Corrupción'!#REF!="Moderado"),CONCATENATE("R",'Mapa de Riesgos de Corrupción'!#REF!),"")</f>
        <v>#REF!</v>
      </c>
      <c r="AA44" s="292"/>
      <c r="AB44" s="294" t="e">
        <f>IF(AND('Mapa de Riesgos de Corrupción'!#REF!="Muy Baja",'Mapa de Riesgos de Corrupción'!#REF!="Mayor"),CONCATENATE("R",'Mapa de Riesgos de Corrupción'!#REF!),"")</f>
        <v>#REF!</v>
      </c>
      <c r="AC44" s="295"/>
      <c r="AD44" s="291" t="e">
        <f>IF(AND('Mapa de Riesgos de Corrupción'!#REF!="Muy Baja",'Mapa de Riesgos de Corrupción'!#REF!="Mayor"),CONCATENATE("R",'Mapa de Riesgos de Corrupción'!#REF!),"")</f>
        <v>#REF!</v>
      </c>
      <c r="AE44" s="295"/>
      <c r="AF44" s="291" t="e">
        <f>IF(AND('Mapa de Riesgos de Corrupción'!#REF!="Muy Baja",'Mapa de Riesgos de Corrupción'!#REF!="Mayor"),CONCATENATE("R",'Mapa de Riesgos de Corrupción'!#REF!),"")</f>
        <v>#REF!</v>
      </c>
      <c r="AG44" s="292"/>
      <c r="AH44" s="296" t="e">
        <f>IF(AND('Mapa de Riesgos de Corrupción'!#REF!="Muy Baja",'Mapa de Riesgos de Corrupción'!#REF!="Catastrófico"),CONCATENATE("R",'Mapa de Riesgos de Corrupción'!#REF!),"")</f>
        <v>#REF!</v>
      </c>
      <c r="AI44" s="295"/>
      <c r="AJ44" s="297" t="e">
        <f>IF(AND('Mapa de Riesgos de Corrupción'!#REF!="Muy Baja",'Mapa de Riesgos de Corrupción'!#REF!="Catastrófico"),CONCATENATE("R",'Mapa de Riesgos de Corrupción'!#REF!),"")</f>
        <v>#REF!</v>
      </c>
      <c r="AK44" s="295"/>
      <c r="AL44" s="297" t="e">
        <f>IF(AND('Mapa de Riesgos de Corrupción'!#REF!="Muy Baja",'Mapa de Riesgos de Corrupción'!#REF!="Catastrófico"),CONCATENATE("R",'Mapa de Riesgos de Corrupción'!#REF!),"")</f>
        <v>#REF!</v>
      </c>
      <c r="AM44" s="29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row>
    <row r="45" spans="1:61" ht="15.75" customHeight="1">
      <c r="A45" s="122"/>
      <c r="B45" s="293"/>
      <c r="C45" s="224"/>
      <c r="D45" s="265"/>
      <c r="E45" s="225"/>
      <c r="F45" s="226"/>
      <c r="G45" s="226"/>
      <c r="H45" s="226"/>
      <c r="I45" s="301"/>
      <c r="J45" s="225"/>
      <c r="K45" s="226"/>
      <c r="L45" s="300"/>
      <c r="M45" s="226"/>
      <c r="N45" s="300"/>
      <c r="O45" s="301"/>
      <c r="P45" s="225"/>
      <c r="Q45" s="226"/>
      <c r="R45" s="300"/>
      <c r="S45" s="226"/>
      <c r="T45" s="300"/>
      <c r="U45" s="301"/>
      <c r="V45" s="225"/>
      <c r="W45" s="226"/>
      <c r="X45" s="300"/>
      <c r="Y45" s="226"/>
      <c r="Z45" s="300"/>
      <c r="AA45" s="301"/>
      <c r="AB45" s="225"/>
      <c r="AC45" s="226"/>
      <c r="AD45" s="300"/>
      <c r="AE45" s="226"/>
      <c r="AF45" s="300"/>
      <c r="AG45" s="301"/>
      <c r="AH45" s="225"/>
      <c r="AI45" s="226"/>
      <c r="AJ45" s="300"/>
      <c r="AK45" s="226"/>
      <c r="AL45" s="300"/>
      <c r="AM45" s="301"/>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row>
    <row r="46" spans="1:61" ht="15.75" customHeight="1">
      <c r="A46" s="122"/>
      <c r="B46" s="122"/>
      <c r="C46" s="122"/>
      <c r="D46" s="122"/>
      <c r="E46" s="122"/>
      <c r="F46" s="122"/>
      <c r="G46" s="122"/>
      <c r="H46" s="122"/>
      <c r="I46" s="122"/>
      <c r="J46" s="321" t="s">
        <v>509</v>
      </c>
      <c r="K46" s="222"/>
      <c r="L46" s="222"/>
      <c r="M46" s="222"/>
      <c r="N46" s="222"/>
      <c r="O46" s="303"/>
      <c r="P46" s="321" t="s">
        <v>510</v>
      </c>
      <c r="Q46" s="222"/>
      <c r="R46" s="222"/>
      <c r="S46" s="222"/>
      <c r="T46" s="222"/>
      <c r="U46" s="303"/>
      <c r="V46" s="321" t="s">
        <v>511</v>
      </c>
      <c r="W46" s="222"/>
      <c r="X46" s="222"/>
      <c r="Y46" s="222"/>
      <c r="Z46" s="222"/>
      <c r="AA46" s="303"/>
      <c r="AB46" s="321" t="s">
        <v>512</v>
      </c>
      <c r="AC46" s="222"/>
      <c r="AD46" s="222"/>
      <c r="AE46" s="222"/>
      <c r="AF46" s="222"/>
      <c r="AG46" s="303"/>
      <c r="AH46" s="321" t="s">
        <v>513</v>
      </c>
      <c r="AI46" s="222"/>
      <c r="AJ46" s="222"/>
      <c r="AK46" s="222"/>
      <c r="AL46" s="222"/>
      <c r="AM46" s="303"/>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row>
    <row r="47" spans="1:61" ht="15.75" customHeight="1">
      <c r="A47" s="122"/>
      <c r="B47" s="122"/>
      <c r="C47" s="122"/>
      <c r="D47" s="122"/>
      <c r="E47" s="122"/>
      <c r="F47" s="122"/>
      <c r="G47" s="122"/>
      <c r="H47" s="122"/>
      <c r="I47" s="122"/>
      <c r="J47" s="223"/>
      <c r="K47" s="224"/>
      <c r="L47" s="224"/>
      <c r="M47" s="224"/>
      <c r="N47" s="224"/>
      <c r="O47" s="265"/>
      <c r="P47" s="223"/>
      <c r="Q47" s="224"/>
      <c r="R47" s="224"/>
      <c r="S47" s="224"/>
      <c r="T47" s="224"/>
      <c r="U47" s="265"/>
      <c r="V47" s="223"/>
      <c r="W47" s="224"/>
      <c r="X47" s="224"/>
      <c r="Y47" s="224"/>
      <c r="Z47" s="224"/>
      <c r="AA47" s="265"/>
      <c r="AB47" s="223"/>
      <c r="AC47" s="224"/>
      <c r="AD47" s="224"/>
      <c r="AE47" s="224"/>
      <c r="AF47" s="224"/>
      <c r="AG47" s="265"/>
      <c r="AH47" s="223"/>
      <c r="AI47" s="224"/>
      <c r="AJ47" s="224"/>
      <c r="AK47" s="224"/>
      <c r="AL47" s="224"/>
      <c r="AM47" s="265"/>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row>
    <row r="48" spans="1:61" ht="15.75" customHeight="1">
      <c r="A48" s="122"/>
      <c r="B48" s="122"/>
      <c r="C48" s="122"/>
      <c r="D48" s="122"/>
      <c r="E48" s="122"/>
      <c r="F48" s="122"/>
      <c r="G48" s="122"/>
      <c r="H48" s="122"/>
      <c r="I48" s="122"/>
      <c r="J48" s="223"/>
      <c r="K48" s="224"/>
      <c r="L48" s="224"/>
      <c r="M48" s="224"/>
      <c r="N48" s="224"/>
      <c r="O48" s="265"/>
      <c r="P48" s="223"/>
      <c r="Q48" s="224"/>
      <c r="R48" s="224"/>
      <c r="S48" s="224"/>
      <c r="T48" s="224"/>
      <c r="U48" s="265"/>
      <c r="V48" s="223"/>
      <c r="W48" s="224"/>
      <c r="X48" s="224"/>
      <c r="Y48" s="224"/>
      <c r="Z48" s="224"/>
      <c r="AA48" s="265"/>
      <c r="AB48" s="223"/>
      <c r="AC48" s="224"/>
      <c r="AD48" s="224"/>
      <c r="AE48" s="224"/>
      <c r="AF48" s="224"/>
      <c r="AG48" s="265"/>
      <c r="AH48" s="223"/>
      <c r="AI48" s="224"/>
      <c r="AJ48" s="224"/>
      <c r="AK48" s="224"/>
      <c r="AL48" s="224"/>
      <c r="AM48" s="265"/>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row>
    <row r="49" spans="1:61" ht="15.75" customHeight="1">
      <c r="A49" s="122"/>
      <c r="B49" s="122"/>
      <c r="C49" s="122"/>
      <c r="D49" s="122"/>
      <c r="E49" s="122"/>
      <c r="F49" s="122"/>
      <c r="G49" s="122"/>
      <c r="H49" s="122"/>
      <c r="I49" s="122"/>
      <c r="J49" s="223"/>
      <c r="K49" s="224"/>
      <c r="L49" s="224"/>
      <c r="M49" s="224"/>
      <c r="N49" s="224"/>
      <c r="O49" s="265"/>
      <c r="P49" s="223"/>
      <c r="Q49" s="224"/>
      <c r="R49" s="224"/>
      <c r="S49" s="224"/>
      <c r="T49" s="224"/>
      <c r="U49" s="265"/>
      <c r="V49" s="223"/>
      <c r="W49" s="224"/>
      <c r="X49" s="224"/>
      <c r="Y49" s="224"/>
      <c r="Z49" s="224"/>
      <c r="AA49" s="265"/>
      <c r="AB49" s="223"/>
      <c r="AC49" s="224"/>
      <c r="AD49" s="224"/>
      <c r="AE49" s="224"/>
      <c r="AF49" s="224"/>
      <c r="AG49" s="265"/>
      <c r="AH49" s="223"/>
      <c r="AI49" s="224"/>
      <c r="AJ49" s="224"/>
      <c r="AK49" s="224"/>
      <c r="AL49" s="224"/>
      <c r="AM49" s="265"/>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row>
    <row r="50" spans="1:61" ht="15.75" customHeight="1">
      <c r="A50" s="122"/>
      <c r="B50" s="122"/>
      <c r="C50" s="122"/>
      <c r="D50" s="122"/>
      <c r="E50" s="122"/>
      <c r="F50" s="122"/>
      <c r="G50" s="122"/>
      <c r="H50" s="122"/>
      <c r="I50" s="122"/>
      <c r="J50" s="223"/>
      <c r="K50" s="224"/>
      <c r="L50" s="224"/>
      <c r="M50" s="224"/>
      <c r="N50" s="224"/>
      <c r="O50" s="265"/>
      <c r="P50" s="223"/>
      <c r="Q50" s="224"/>
      <c r="R50" s="224"/>
      <c r="S50" s="224"/>
      <c r="T50" s="224"/>
      <c r="U50" s="265"/>
      <c r="V50" s="223"/>
      <c r="W50" s="224"/>
      <c r="X50" s="224"/>
      <c r="Y50" s="224"/>
      <c r="Z50" s="224"/>
      <c r="AA50" s="265"/>
      <c r="AB50" s="223"/>
      <c r="AC50" s="224"/>
      <c r="AD50" s="224"/>
      <c r="AE50" s="224"/>
      <c r="AF50" s="224"/>
      <c r="AG50" s="265"/>
      <c r="AH50" s="223"/>
      <c r="AI50" s="224"/>
      <c r="AJ50" s="224"/>
      <c r="AK50" s="224"/>
      <c r="AL50" s="224"/>
      <c r="AM50" s="265"/>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row>
    <row r="51" spans="1:61" ht="15.75" customHeight="1">
      <c r="A51" s="122"/>
      <c r="B51" s="122"/>
      <c r="C51" s="122"/>
      <c r="D51" s="122"/>
      <c r="E51" s="122"/>
      <c r="F51" s="122"/>
      <c r="G51" s="122"/>
      <c r="H51" s="122"/>
      <c r="I51" s="122"/>
      <c r="J51" s="225"/>
      <c r="K51" s="226"/>
      <c r="L51" s="226"/>
      <c r="M51" s="226"/>
      <c r="N51" s="226"/>
      <c r="O51" s="301"/>
      <c r="P51" s="225"/>
      <c r="Q51" s="226"/>
      <c r="R51" s="226"/>
      <c r="S51" s="226"/>
      <c r="T51" s="226"/>
      <c r="U51" s="301"/>
      <c r="V51" s="225"/>
      <c r="W51" s="226"/>
      <c r="X51" s="226"/>
      <c r="Y51" s="226"/>
      <c r="Z51" s="226"/>
      <c r="AA51" s="301"/>
      <c r="AB51" s="225"/>
      <c r="AC51" s="226"/>
      <c r="AD51" s="226"/>
      <c r="AE51" s="226"/>
      <c r="AF51" s="226"/>
      <c r="AG51" s="301"/>
      <c r="AH51" s="225"/>
      <c r="AI51" s="226"/>
      <c r="AJ51" s="226"/>
      <c r="AK51" s="226"/>
      <c r="AL51" s="226"/>
      <c r="AM51" s="30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row>
    <row r="52" spans="1:61"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row>
    <row r="53" spans="1:61" ht="15" customHeight="1">
      <c r="A53" s="122"/>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2"/>
      <c r="AV53" s="122"/>
      <c r="AW53" s="122"/>
      <c r="AX53" s="122"/>
      <c r="AY53" s="122"/>
      <c r="AZ53" s="122"/>
      <c r="BA53" s="122"/>
      <c r="BB53" s="122"/>
      <c r="BC53" s="122"/>
      <c r="BD53" s="122"/>
      <c r="BE53" s="122"/>
      <c r="BF53" s="122"/>
      <c r="BG53" s="122"/>
      <c r="BH53" s="122"/>
      <c r="BI53" s="122"/>
    </row>
    <row r="54" spans="1:61" ht="15" customHeight="1">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2"/>
      <c r="AV54" s="122"/>
      <c r="AW54" s="122"/>
      <c r="AX54" s="122"/>
      <c r="AY54" s="122"/>
      <c r="AZ54" s="122"/>
      <c r="BA54" s="122"/>
      <c r="BB54" s="122"/>
      <c r="BC54" s="122"/>
      <c r="BD54" s="122"/>
      <c r="BE54" s="122"/>
      <c r="BF54" s="122"/>
      <c r="BG54" s="122"/>
      <c r="BH54" s="122"/>
      <c r="BI54" s="122"/>
    </row>
    <row r="55" spans="1:61" ht="15.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row>
    <row r="56" spans="1:61" ht="15.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row>
    <row r="57" spans="1:61" ht="15.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row>
    <row r="58" spans="1:61" ht="15.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row>
    <row r="59" spans="1:61" ht="15.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row>
    <row r="60" spans="1:61" ht="15.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row>
    <row r="61" spans="1:61" ht="15.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row>
    <row r="62" spans="1:61"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row>
    <row r="63" spans="1:61" ht="15.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row>
    <row r="64" spans="1:61" ht="15.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row>
    <row r="65" spans="1:61"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row>
    <row r="66" spans="1:61"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row>
    <row r="67" spans="1:61"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row>
    <row r="68" spans="1:61"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row>
    <row r="69" spans="1:61"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row>
    <row r="70" spans="1:61"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row>
    <row r="71" spans="1:61"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row>
    <row r="72" spans="1:61"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row>
    <row r="73" spans="1:61"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row>
    <row r="74" spans="1:61"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row>
    <row r="75" spans="1:61"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row>
    <row r="76" spans="1:61"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row>
    <row r="77" spans="1:61"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row>
    <row r="78" spans="1:61"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row>
    <row r="79" spans="1:61"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row>
    <row r="80" spans="1:61"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row>
    <row r="81" spans="1:61"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row>
    <row r="82" spans="1:61"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row>
    <row r="83" spans="1:61"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row>
    <row r="84" spans="1:61"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row>
    <row r="85" spans="1:61"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row>
    <row r="86" spans="1:61"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row>
    <row r="87" spans="1:61"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row>
    <row r="88" spans="1:61"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row>
    <row r="89" spans="1:61"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row>
    <row r="90" spans="1:61"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row>
    <row r="91" spans="1:61"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row>
    <row r="92" spans="1:61"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row>
    <row r="93" spans="1:61"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row>
    <row r="94" spans="1:61"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row>
    <row r="95" spans="1:61"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row>
    <row r="96" spans="1:61"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row>
    <row r="97" spans="1:61"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row>
    <row r="98" spans="1:61"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row>
    <row r="99" spans="1:61"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row>
    <row r="100" spans="1:61"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row>
    <row r="101" spans="1:61"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row>
    <row r="102" spans="1:61"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row>
    <row r="103" spans="1:61"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row>
    <row r="104" spans="1:61"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row>
    <row r="105" spans="1:61"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row>
    <row r="106" spans="1:61"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row>
    <row r="107" spans="1:61"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row>
    <row r="108" spans="1:61"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row>
    <row r="109" spans="1:61"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row>
    <row r="110" spans="1:61"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row>
    <row r="111" spans="1:61"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row>
    <row r="112" spans="1:61"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row>
    <row r="113" spans="1:61"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row>
    <row r="114" spans="1:61"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row>
    <row r="115" spans="1:61"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row>
    <row r="116" spans="1:61"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row>
    <row r="117" spans="1:61"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row>
    <row r="118" spans="1:61"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row>
    <row r="119" spans="1:61"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row>
    <row r="120" spans="1:61"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row>
    <row r="121" spans="1:61"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row>
    <row r="122" spans="1:61" ht="15.75" customHeight="1">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row>
    <row r="123" spans="1:61" ht="15.75" customHeight="1">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row>
    <row r="124" spans="1:61" ht="15.75" customHeight="1">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row>
    <row r="125" spans="1:61" ht="15.75" customHeight="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row>
    <row r="126" spans="1:61" ht="15.75" customHeight="1">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row>
    <row r="127" spans="1:61" ht="15.75" customHeight="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row>
    <row r="128" spans="1:61" ht="15.75" customHeight="1">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row>
    <row r="129" spans="2:61" ht="15.75" customHeight="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row>
    <row r="130" spans="2:61" ht="15.75" customHeight="1">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row>
    <row r="131" spans="2:61" ht="15.75" customHeight="1">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row>
    <row r="132" spans="2:61" ht="15.75" customHeight="1">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row>
    <row r="133" spans="2:61" ht="15.75" customHeight="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row>
    <row r="134" spans="2:61" ht="15.75" customHeight="1">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row>
    <row r="135" spans="2:61" ht="15.75" customHeight="1">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row>
    <row r="136" spans="2:61" ht="15.75" customHeight="1">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row>
    <row r="137" spans="2:61" ht="15.75" customHeight="1">
      <c r="B137" s="122"/>
      <c r="C137" s="122"/>
      <c r="D137" s="122"/>
      <c r="E137" s="122"/>
      <c r="F137" s="122"/>
      <c r="G137" s="122"/>
      <c r="H137" s="122"/>
      <c r="I137" s="122"/>
    </row>
    <row r="138" spans="2:61" ht="15.75" customHeight="1">
      <c r="B138" s="122"/>
      <c r="C138" s="122"/>
      <c r="D138" s="122"/>
      <c r="E138" s="122"/>
      <c r="F138" s="122"/>
      <c r="G138" s="122"/>
      <c r="H138" s="122"/>
      <c r="I138" s="122"/>
    </row>
    <row r="139" spans="2:61" ht="15.75" customHeight="1">
      <c r="B139" s="122"/>
      <c r="C139" s="122"/>
      <c r="D139" s="122"/>
      <c r="E139" s="122"/>
      <c r="F139" s="122"/>
      <c r="G139" s="122"/>
      <c r="H139" s="122"/>
      <c r="I139" s="122"/>
    </row>
    <row r="140" spans="2:61" ht="15.75" customHeight="1">
      <c r="B140" s="122"/>
      <c r="C140" s="122"/>
      <c r="D140" s="122"/>
      <c r="E140" s="122"/>
      <c r="F140" s="122"/>
      <c r="G140" s="122"/>
      <c r="H140" s="122"/>
      <c r="I140" s="122"/>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2" width="10.7109375" customWidth="1"/>
  </cols>
  <sheetData>
    <row r="1" spans="1:26" ht="14.25" customHeight="1">
      <c r="A1" s="124" t="s">
        <v>514</v>
      </c>
      <c r="B1" s="125" t="s">
        <v>515</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14.25" customHeight="1">
      <c r="A2" s="328" t="s">
        <v>516</v>
      </c>
      <c r="B2" s="231"/>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4.25" customHeight="1">
      <c r="A3" s="127" t="s">
        <v>517</v>
      </c>
      <c r="B3" s="128" t="s">
        <v>518</v>
      </c>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4.25" customHeight="1">
      <c r="A4" s="127" t="s">
        <v>519</v>
      </c>
      <c r="B4" s="128" t="s">
        <v>520</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pans="1:26" ht="14.25" customHeight="1">
      <c r="A5" s="127" t="s">
        <v>521</v>
      </c>
      <c r="B5" s="128" t="s">
        <v>522</v>
      </c>
      <c r="C5" s="126"/>
      <c r="D5" s="126"/>
      <c r="E5" s="126"/>
      <c r="F5" s="126"/>
      <c r="G5" s="126"/>
      <c r="H5" s="126"/>
      <c r="I5" s="126"/>
      <c r="J5" s="126"/>
      <c r="K5" s="126"/>
      <c r="L5" s="126"/>
      <c r="M5" s="126"/>
      <c r="N5" s="126"/>
      <c r="O5" s="126"/>
      <c r="P5" s="126"/>
      <c r="Q5" s="126"/>
      <c r="R5" s="126"/>
      <c r="S5" s="126"/>
      <c r="T5" s="126"/>
      <c r="U5" s="126"/>
      <c r="V5" s="126"/>
      <c r="W5" s="126"/>
      <c r="X5" s="126"/>
      <c r="Y5" s="126"/>
      <c r="Z5" s="126"/>
    </row>
    <row r="6" spans="1:26" ht="14.25" customHeight="1">
      <c r="A6" s="127" t="s">
        <v>523</v>
      </c>
      <c r="B6" s="128" t="s">
        <v>524</v>
      </c>
      <c r="C6" s="126"/>
      <c r="D6" s="126"/>
      <c r="E6" s="126"/>
      <c r="F6" s="126"/>
      <c r="G6" s="126"/>
      <c r="H6" s="126"/>
      <c r="I6" s="126"/>
      <c r="J6" s="126"/>
      <c r="K6" s="126"/>
      <c r="L6" s="126"/>
      <c r="M6" s="126"/>
      <c r="N6" s="126"/>
      <c r="O6" s="126"/>
      <c r="P6" s="126"/>
      <c r="Q6" s="126"/>
      <c r="R6" s="126"/>
      <c r="S6" s="126"/>
      <c r="T6" s="126"/>
      <c r="U6" s="126"/>
      <c r="V6" s="126"/>
      <c r="W6" s="126"/>
      <c r="X6" s="126"/>
      <c r="Y6" s="126"/>
      <c r="Z6" s="126"/>
    </row>
    <row r="7" spans="1:26" ht="14.25" customHeight="1">
      <c r="A7" s="127" t="s">
        <v>525</v>
      </c>
      <c r="B7" s="128" t="s">
        <v>526</v>
      </c>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1:26" ht="14.25" customHeight="1">
      <c r="A8" s="127" t="s">
        <v>527</v>
      </c>
      <c r="B8" s="128" t="s">
        <v>528</v>
      </c>
      <c r="C8" s="126"/>
      <c r="D8" s="126"/>
      <c r="E8" s="126"/>
      <c r="F8" s="126"/>
      <c r="G8" s="126"/>
      <c r="H8" s="126"/>
      <c r="I8" s="126"/>
      <c r="J8" s="126"/>
      <c r="K8" s="126"/>
      <c r="L8" s="126"/>
      <c r="M8" s="126"/>
      <c r="N8" s="126"/>
      <c r="O8" s="126"/>
      <c r="P8" s="126"/>
      <c r="Q8" s="126"/>
      <c r="R8" s="126"/>
      <c r="S8" s="126"/>
      <c r="T8" s="126"/>
      <c r="U8" s="126"/>
      <c r="V8" s="126"/>
      <c r="W8" s="126"/>
      <c r="X8" s="126"/>
      <c r="Y8" s="126"/>
      <c r="Z8" s="126"/>
    </row>
    <row r="9" spans="1:26" ht="14.25"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row>
    <row r="10" spans="1:26" ht="14.25" customHeight="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14.25" customHeight="1">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14.25" customHeight="1">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14.25" customHeight="1">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14.25" customHeigh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14.2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14.25"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14.2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14.25"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4.2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14.25" customHeight="1">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4.2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4.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4.2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4.2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4.2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4.2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4.2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4.2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4.2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4.2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4.2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4.2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4.2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4.2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4.2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4.2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4.2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4.2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4.2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4.2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4.2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4.2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4.2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4.2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4.2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4.2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4.2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4.2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4.2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4.2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4.2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4.2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4.2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4.2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4.2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4.2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4.2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4.2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4.2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4.2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4.2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4.2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4.2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4.2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4.2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4.2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4.2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4.2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4.2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4.2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4.2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4.2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4.2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4.2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4.2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4.2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4.2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4.2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4.2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4.2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4.2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4.2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4.2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4.2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4.2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4.2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4.2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4.2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4.2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4.2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4.2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4.2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4.2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4.2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4.2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4.2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4.2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4.2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4.2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4.2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4.2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4.2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4.2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4.2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4.2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4.2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4.2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4.2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4.2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4.2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4.2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4.2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4.2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4.2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4.2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4.2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4.2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4.2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4.2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4.2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4.2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4.2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4.2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4.2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4.2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4.2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4.2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4.2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4.2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4.2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4.2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4.2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4.2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4.2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4.2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4.2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4.2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4.2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4.2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4.2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4.2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4.2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4.2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4.2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4.2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4.2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4.2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4.2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4.2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4.2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4.2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4.2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4.2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4.2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4.2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4.2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4.2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4.2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4.2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4.2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4.2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4.2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4.2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4.2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4.2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4.2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4.2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4.2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4.2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4.2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4.2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4.2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4.2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4.2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4.2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4.2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4.2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4.2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4.2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4.2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4.2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4.2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4.2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4.2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4.2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4.2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4.2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4.2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4.2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4.2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4.2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4.2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4.2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4.2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4.2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4.2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4.2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4.2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4.2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4.2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4.2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4.2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4.2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4.2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4.2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4.2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4.2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4.2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4.2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4.2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4.2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4.2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4.2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4.2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4.2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4.2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4.2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4.2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4.2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4.2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22"/>
      <c r="B1" s="329" t="s">
        <v>529</v>
      </c>
      <c r="C1" s="224"/>
      <c r="D1" s="224"/>
      <c r="E1" s="122"/>
      <c r="F1" s="122"/>
      <c r="G1" s="122"/>
      <c r="H1" s="122"/>
      <c r="I1" s="122"/>
      <c r="J1" s="122"/>
      <c r="K1" s="122"/>
      <c r="L1" s="122"/>
      <c r="M1" s="122"/>
      <c r="N1" s="122"/>
      <c r="O1" s="122"/>
      <c r="P1" s="122"/>
      <c r="Q1" s="122"/>
      <c r="R1" s="122"/>
      <c r="S1" s="122"/>
      <c r="T1" s="122"/>
      <c r="U1" s="122"/>
      <c r="V1" s="122"/>
      <c r="W1" s="122"/>
      <c r="X1" s="122"/>
    </row>
    <row r="2" spans="1:24">
      <c r="A2" s="122"/>
      <c r="B2" s="122"/>
      <c r="C2" s="122"/>
      <c r="D2" s="122"/>
      <c r="E2" s="122"/>
      <c r="F2" s="122"/>
      <c r="G2" s="122"/>
      <c r="H2" s="122"/>
      <c r="I2" s="122"/>
      <c r="J2" s="122"/>
      <c r="K2" s="122"/>
      <c r="L2" s="122"/>
      <c r="M2" s="122"/>
      <c r="N2" s="122"/>
      <c r="O2" s="122"/>
      <c r="P2" s="122"/>
      <c r="Q2" s="122"/>
      <c r="R2" s="122"/>
      <c r="S2" s="122"/>
      <c r="T2" s="122"/>
      <c r="U2" s="122"/>
      <c r="V2" s="122"/>
      <c r="W2" s="122"/>
      <c r="X2" s="122"/>
    </row>
    <row r="3" spans="1:24" ht="25.5">
      <c r="A3" s="122"/>
      <c r="B3" s="129"/>
      <c r="C3" s="130" t="s">
        <v>530</v>
      </c>
      <c r="D3" s="130" t="s">
        <v>189</v>
      </c>
      <c r="E3" s="122"/>
      <c r="F3" s="122"/>
      <c r="G3" s="122"/>
      <c r="H3" s="122"/>
      <c r="I3" s="122"/>
      <c r="J3" s="122"/>
      <c r="K3" s="122"/>
      <c r="L3" s="122"/>
      <c r="M3" s="122"/>
      <c r="N3" s="122"/>
      <c r="O3" s="122"/>
      <c r="P3" s="122"/>
      <c r="Q3" s="122"/>
      <c r="R3" s="122"/>
      <c r="S3" s="122"/>
      <c r="T3" s="122"/>
      <c r="U3" s="122"/>
      <c r="V3" s="122"/>
      <c r="W3" s="122"/>
      <c r="X3" s="122"/>
    </row>
    <row r="4" spans="1:24" ht="51">
      <c r="A4" s="122"/>
      <c r="B4" s="131" t="s">
        <v>531</v>
      </c>
      <c r="C4" s="132" t="s">
        <v>532</v>
      </c>
      <c r="D4" s="133">
        <v>0.2</v>
      </c>
      <c r="E4" s="122"/>
      <c r="F4" s="122"/>
      <c r="G4" s="122"/>
      <c r="H4" s="122"/>
      <c r="I4" s="122"/>
      <c r="J4" s="122"/>
      <c r="K4" s="122"/>
      <c r="L4" s="122"/>
      <c r="M4" s="122"/>
      <c r="N4" s="122"/>
      <c r="O4" s="122"/>
      <c r="P4" s="122"/>
      <c r="Q4" s="122"/>
      <c r="R4" s="122"/>
      <c r="S4" s="122"/>
      <c r="T4" s="122"/>
      <c r="U4" s="122"/>
      <c r="V4" s="122"/>
      <c r="W4" s="122"/>
      <c r="X4" s="122"/>
    </row>
    <row r="5" spans="1:24" ht="51">
      <c r="A5" s="122"/>
      <c r="B5" s="134" t="s">
        <v>227</v>
      </c>
      <c r="C5" s="135" t="s">
        <v>533</v>
      </c>
      <c r="D5" s="136">
        <v>0.4</v>
      </c>
      <c r="E5" s="122"/>
      <c r="F5" s="122"/>
      <c r="G5" s="122"/>
      <c r="H5" s="122"/>
      <c r="I5" s="122"/>
      <c r="J5" s="122"/>
      <c r="K5" s="122"/>
      <c r="L5" s="122"/>
      <c r="M5" s="122"/>
      <c r="N5" s="122"/>
      <c r="O5" s="122"/>
      <c r="P5" s="122"/>
      <c r="Q5" s="122"/>
      <c r="R5" s="122"/>
      <c r="S5" s="122"/>
      <c r="T5" s="122"/>
      <c r="U5" s="122"/>
      <c r="V5" s="122"/>
      <c r="W5" s="122"/>
      <c r="X5" s="122"/>
    </row>
    <row r="6" spans="1:24" ht="51">
      <c r="A6" s="122"/>
      <c r="B6" s="137" t="s">
        <v>534</v>
      </c>
      <c r="C6" s="135" t="s">
        <v>535</v>
      </c>
      <c r="D6" s="136">
        <v>0.6</v>
      </c>
      <c r="E6" s="122"/>
      <c r="F6" s="122"/>
      <c r="G6" s="122"/>
      <c r="H6" s="122"/>
      <c r="I6" s="122"/>
      <c r="J6" s="122"/>
      <c r="K6" s="122"/>
      <c r="L6" s="122"/>
      <c r="M6" s="122"/>
      <c r="N6" s="122"/>
      <c r="O6" s="122"/>
      <c r="P6" s="122"/>
      <c r="Q6" s="122"/>
      <c r="R6" s="122"/>
      <c r="S6" s="122"/>
      <c r="T6" s="122"/>
      <c r="U6" s="122"/>
      <c r="V6" s="122"/>
      <c r="W6" s="122"/>
      <c r="X6" s="122"/>
    </row>
    <row r="7" spans="1:24" ht="76.5">
      <c r="A7" s="122"/>
      <c r="B7" s="138" t="s">
        <v>536</v>
      </c>
      <c r="C7" s="135" t="s">
        <v>537</v>
      </c>
      <c r="D7" s="136">
        <v>0.8</v>
      </c>
      <c r="E7" s="122"/>
      <c r="F7" s="122"/>
      <c r="G7" s="122"/>
      <c r="H7" s="122"/>
      <c r="I7" s="122"/>
      <c r="J7" s="122"/>
      <c r="K7" s="122"/>
      <c r="L7" s="122"/>
      <c r="M7" s="122"/>
      <c r="N7" s="122"/>
      <c r="O7" s="122"/>
      <c r="P7" s="122"/>
      <c r="Q7" s="122"/>
      <c r="R7" s="122"/>
      <c r="S7" s="122"/>
      <c r="T7" s="122"/>
      <c r="U7" s="122"/>
      <c r="V7" s="122"/>
      <c r="W7" s="122"/>
      <c r="X7" s="122"/>
    </row>
    <row r="8" spans="1:24" ht="51">
      <c r="A8" s="122"/>
      <c r="B8" s="139" t="s">
        <v>538</v>
      </c>
      <c r="C8" s="135" t="s">
        <v>539</v>
      </c>
      <c r="D8" s="136">
        <v>1</v>
      </c>
      <c r="E8" s="122"/>
      <c r="F8" s="122"/>
      <c r="G8" s="122"/>
      <c r="H8" s="122"/>
      <c r="I8" s="122"/>
      <c r="J8" s="122"/>
      <c r="K8" s="122"/>
      <c r="L8" s="122"/>
      <c r="M8" s="122"/>
      <c r="N8" s="122"/>
      <c r="O8" s="122"/>
      <c r="P8" s="122"/>
      <c r="Q8" s="122"/>
      <c r="R8" s="122"/>
      <c r="S8" s="122"/>
      <c r="T8" s="122"/>
      <c r="U8" s="122"/>
      <c r="V8" s="122"/>
      <c r="W8" s="122"/>
      <c r="X8" s="122"/>
    </row>
    <row r="9" spans="1:24">
      <c r="A9" s="122"/>
      <c r="B9" s="122"/>
      <c r="C9" s="122"/>
      <c r="D9" s="122"/>
      <c r="E9" s="122"/>
      <c r="F9" s="122"/>
      <c r="G9" s="122"/>
      <c r="H9" s="122"/>
      <c r="I9" s="122"/>
      <c r="J9" s="122"/>
      <c r="K9" s="122"/>
      <c r="L9" s="122"/>
      <c r="M9" s="122"/>
      <c r="N9" s="122"/>
      <c r="O9" s="122"/>
      <c r="P9" s="122"/>
      <c r="Q9" s="122"/>
      <c r="R9" s="122"/>
      <c r="S9" s="122"/>
      <c r="T9" s="122"/>
      <c r="U9" s="122"/>
      <c r="V9" s="122"/>
      <c r="W9" s="122"/>
      <c r="X9" s="122"/>
    </row>
    <row r="10" spans="1:24" ht="16.5">
      <c r="A10" s="122"/>
      <c r="B10" s="140"/>
      <c r="C10" s="122"/>
      <c r="D10" s="122"/>
      <c r="E10" s="122"/>
      <c r="F10" s="122"/>
      <c r="G10" s="122"/>
      <c r="H10" s="122"/>
      <c r="I10" s="122"/>
      <c r="J10" s="122"/>
      <c r="K10" s="122"/>
      <c r="L10" s="122"/>
      <c r="M10" s="122"/>
      <c r="N10" s="122"/>
      <c r="O10" s="122"/>
      <c r="P10" s="122"/>
      <c r="Q10" s="122"/>
      <c r="R10" s="122"/>
      <c r="S10" s="122"/>
      <c r="T10" s="122"/>
      <c r="U10" s="122"/>
      <c r="V10" s="122"/>
      <c r="W10" s="122"/>
      <c r="X10" s="122"/>
    </row>
    <row r="11" spans="1:24">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row>
    <row r="12" spans="1:24">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row>
    <row r="13" spans="1:24">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row>
    <row r="14" spans="1:24">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1:24">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row>
    <row r="16" spans="1:24">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row>
    <row r="17" spans="1:24">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row>
    <row r="18" spans="1:24">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row>
    <row r="19" spans="1:24">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row>
    <row r="20" spans="1:24">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row>
    <row r="21" spans="1:24" ht="15.75" customHeight="1">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row>
    <row r="22" spans="1:24" ht="15.7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row>
    <row r="23" spans="1:24" ht="15.7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row>
    <row r="24" spans="1:24" ht="15.75"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row>
    <row r="25" spans="1:24" ht="15.7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row>
    <row r="26" spans="1:24"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row>
    <row r="27" spans="1:24" ht="15.75" customHeight="1">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row>
    <row r="28" spans="1:24" ht="15.7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row>
    <row r="29" spans="1:24" ht="15.7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row>
    <row r="30" spans="1:24" ht="15.7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row>
    <row r="31" spans="1:24" ht="15.75" customHeight="1">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row>
    <row r="32" spans="1:24" ht="15.7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row>
    <row r="33" spans="1:24" ht="15.75" customHeight="1">
      <c r="A33" s="122"/>
      <c r="E33" s="122"/>
      <c r="F33" s="122"/>
      <c r="G33" s="122"/>
      <c r="H33" s="122"/>
      <c r="I33" s="122"/>
      <c r="J33" s="122"/>
      <c r="K33" s="122"/>
      <c r="L33" s="122"/>
      <c r="M33" s="122"/>
      <c r="N33" s="122"/>
      <c r="O33" s="122"/>
      <c r="P33" s="122"/>
      <c r="Q33" s="122"/>
      <c r="R33" s="122"/>
      <c r="S33" s="122"/>
      <c r="T33" s="122"/>
      <c r="U33" s="122"/>
      <c r="V33" s="122"/>
      <c r="W33" s="122"/>
      <c r="X33" s="122"/>
    </row>
    <row r="34" spans="1:24" ht="15.75" customHeight="1">
      <c r="A34" s="122"/>
      <c r="E34" s="122"/>
      <c r="F34" s="122"/>
      <c r="G34" s="122"/>
      <c r="H34" s="122"/>
      <c r="I34" s="122"/>
      <c r="J34" s="122"/>
      <c r="K34" s="122"/>
      <c r="L34" s="122"/>
      <c r="M34" s="122"/>
      <c r="N34" s="122"/>
      <c r="O34" s="122"/>
      <c r="P34" s="122"/>
      <c r="Q34" s="122"/>
      <c r="R34" s="122"/>
      <c r="S34" s="122"/>
      <c r="T34" s="122"/>
      <c r="U34" s="122"/>
      <c r="V34" s="122"/>
      <c r="W34" s="122"/>
      <c r="X34" s="122"/>
    </row>
    <row r="35" spans="1:24" ht="15.75" customHeight="1">
      <c r="A35" s="122"/>
    </row>
    <row r="36" spans="1:24" ht="15.75" customHeight="1">
      <c r="A36" s="122"/>
    </row>
    <row r="37" spans="1:24" ht="15.75" customHeight="1">
      <c r="A37" s="122"/>
    </row>
    <row r="38" spans="1:24" ht="15.75" customHeight="1">
      <c r="A38" s="122"/>
    </row>
    <row r="39" spans="1:24" ht="15.75" customHeight="1">
      <c r="A39" s="122"/>
    </row>
    <row r="40" spans="1:24" ht="15.75" customHeight="1">
      <c r="A40" s="122"/>
    </row>
    <row r="41" spans="1:24" ht="15.75" customHeight="1">
      <c r="A41" s="122"/>
    </row>
    <row r="42" spans="1:24" ht="15.75" customHeight="1">
      <c r="A42" s="122"/>
    </row>
    <row r="43" spans="1:24" ht="15.75" customHeight="1">
      <c r="A43" s="122"/>
    </row>
    <row r="44" spans="1:24" ht="15.75" customHeight="1">
      <c r="A44" s="122"/>
    </row>
    <row r="45" spans="1:24" ht="15.75" customHeight="1">
      <c r="A45" s="122"/>
    </row>
    <row r="46" spans="1:24" ht="15.75" customHeight="1">
      <c r="A46" s="122"/>
    </row>
    <row r="47" spans="1:24" ht="15.75" customHeight="1">
      <c r="A47" s="122"/>
    </row>
    <row r="48" spans="1:24" ht="15.75" customHeight="1">
      <c r="A48" s="122"/>
    </row>
    <row r="49" spans="1:1" ht="15.75" customHeight="1">
      <c r="A49" s="122"/>
    </row>
    <row r="50" spans="1:1" ht="15.75" customHeight="1">
      <c r="A50" s="122"/>
    </row>
    <row r="51" spans="1:1" ht="15.75" customHeight="1">
      <c r="A51" s="122"/>
    </row>
    <row r="52" spans="1:1" ht="15.75" customHeight="1">
      <c r="A52" s="122"/>
    </row>
    <row r="53" spans="1:1" ht="15.75" customHeight="1">
      <c r="A53" s="122"/>
    </row>
    <row r="54" spans="1:1" ht="15.75" customHeight="1">
      <c r="A54" s="122"/>
    </row>
    <row r="55" spans="1:1" ht="15.75" customHeight="1">
      <c r="A55" s="122"/>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1" width="10.7109375" customWidth="1"/>
  </cols>
  <sheetData>
    <row r="1" spans="1:21" ht="33.75">
      <c r="A1" s="122"/>
      <c r="B1" s="330" t="s">
        <v>540</v>
      </c>
      <c r="C1" s="224"/>
      <c r="D1" s="224"/>
      <c r="E1" s="122"/>
      <c r="F1" s="122"/>
      <c r="G1" s="122"/>
      <c r="H1" s="122"/>
      <c r="I1" s="122"/>
      <c r="J1" s="122"/>
      <c r="K1" s="122"/>
      <c r="L1" s="122"/>
      <c r="M1" s="122"/>
      <c r="N1" s="122"/>
      <c r="O1" s="122"/>
      <c r="P1" s="122"/>
      <c r="Q1" s="122"/>
      <c r="R1" s="122"/>
      <c r="S1" s="122"/>
      <c r="T1" s="122"/>
      <c r="U1" s="122"/>
    </row>
    <row r="2" spans="1:21">
      <c r="A2" s="122"/>
      <c r="B2" s="122"/>
      <c r="C2" s="122"/>
      <c r="D2" s="122"/>
      <c r="E2" s="122"/>
      <c r="F2" s="122"/>
      <c r="G2" s="122"/>
      <c r="H2" s="122"/>
      <c r="I2" s="122"/>
      <c r="J2" s="122"/>
      <c r="K2" s="122"/>
      <c r="L2" s="122"/>
      <c r="M2" s="122"/>
      <c r="N2" s="122"/>
      <c r="O2" s="122"/>
      <c r="P2" s="122"/>
      <c r="Q2" s="122"/>
      <c r="R2" s="122"/>
      <c r="S2" s="122"/>
      <c r="T2" s="122"/>
      <c r="U2" s="122"/>
    </row>
    <row r="3" spans="1:21" ht="30">
      <c r="A3" s="122"/>
      <c r="B3" s="141"/>
      <c r="C3" s="142" t="s">
        <v>541</v>
      </c>
      <c r="D3" s="142" t="s">
        <v>542</v>
      </c>
      <c r="E3" s="122"/>
      <c r="F3" s="122"/>
      <c r="G3" s="122"/>
      <c r="H3" s="122"/>
      <c r="I3" s="122"/>
      <c r="J3" s="122"/>
      <c r="K3" s="122"/>
      <c r="L3" s="122"/>
      <c r="M3" s="122"/>
      <c r="N3" s="122"/>
      <c r="O3" s="122"/>
      <c r="P3" s="122"/>
      <c r="Q3" s="122"/>
      <c r="R3" s="122"/>
      <c r="S3" s="122"/>
      <c r="T3" s="122"/>
      <c r="U3" s="122"/>
    </row>
    <row r="4" spans="1:21" ht="33.75">
      <c r="A4" s="143" t="s">
        <v>543</v>
      </c>
      <c r="B4" s="144" t="s">
        <v>544</v>
      </c>
      <c r="C4" s="145" t="s">
        <v>545</v>
      </c>
      <c r="D4" s="146" t="s">
        <v>546</v>
      </c>
      <c r="E4" s="122"/>
      <c r="F4" s="122"/>
      <c r="G4" s="122"/>
      <c r="H4" s="122"/>
      <c r="I4" s="122"/>
      <c r="J4" s="122"/>
      <c r="K4" s="122"/>
      <c r="L4" s="122"/>
      <c r="M4" s="122"/>
      <c r="N4" s="122"/>
      <c r="O4" s="122"/>
      <c r="P4" s="122"/>
      <c r="Q4" s="122"/>
      <c r="R4" s="122"/>
      <c r="S4" s="122"/>
      <c r="T4" s="122"/>
      <c r="U4" s="122"/>
    </row>
    <row r="5" spans="1:21" ht="67.5">
      <c r="A5" s="143" t="s">
        <v>547</v>
      </c>
      <c r="B5" s="147" t="s">
        <v>548</v>
      </c>
      <c r="C5" s="148" t="s">
        <v>549</v>
      </c>
      <c r="D5" s="149" t="s">
        <v>550</v>
      </c>
      <c r="E5" s="122"/>
      <c r="F5" s="122"/>
      <c r="G5" s="122"/>
      <c r="H5" s="122"/>
      <c r="I5" s="122"/>
      <c r="J5" s="122"/>
      <c r="K5" s="122"/>
      <c r="L5" s="122"/>
      <c r="M5" s="122"/>
      <c r="N5" s="122"/>
      <c r="O5" s="122"/>
      <c r="P5" s="122"/>
      <c r="Q5" s="122"/>
      <c r="R5" s="122"/>
      <c r="S5" s="122"/>
      <c r="T5" s="122"/>
      <c r="U5" s="122"/>
    </row>
    <row r="6" spans="1:21" ht="67.5">
      <c r="A6" s="143" t="s">
        <v>505</v>
      </c>
      <c r="B6" s="150" t="s">
        <v>551</v>
      </c>
      <c r="C6" s="148" t="s">
        <v>552</v>
      </c>
      <c r="D6" s="149" t="s">
        <v>553</v>
      </c>
      <c r="E6" s="122"/>
      <c r="F6" s="122"/>
      <c r="G6" s="122"/>
      <c r="H6" s="122"/>
      <c r="I6" s="122"/>
      <c r="J6" s="122"/>
      <c r="K6" s="122"/>
      <c r="L6" s="122"/>
      <c r="M6" s="122"/>
      <c r="N6" s="122"/>
      <c r="O6" s="122"/>
      <c r="P6" s="122"/>
      <c r="Q6" s="122"/>
      <c r="R6" s="122"/>
      <c r="S6" s="122"/>
      <c r="T6" s="122"/>
      <c r="U6" s="122"/>
    </row>
    <row r="7" spans="1:21" ht="67.5">
      <c r="A7" s="143" t="s">
        <v>554</v>
      </c>
      <c r="B7" s="151" t="s">
        <v>555</v>
      </c>
      <c r="C7" s="148" t="s">
        <v>556</v>
      </c>
      <c r="D7" s="149" t="s">
        <v>557</v>
      </c>
      <c r="E7" s="122"/>
      <c r="F7" s="122"/>
      <c r="G7" s="122"/>
      <c r="H7" s="122"/>
      <c r="I7" s="122"/>
      <c r="J7" s="122"/>
      <c r="K7" s="122"/>
      <c r="L7" s="122"/>
      <c r="M7" s="122"/>
      <c r="N7" s="122"/>
      <c r="O7" s="122"/>
      <c r="P7" s="122"/>
      <c r="Q7" s="122"/>
      <c r="R7" s="122"/>
      <c r="S7" s="122"/>
      <c r="T7" s="122"/>
      <c r="U7" s="122"/>
    </row>
    <row r="8" spans="1:21" ht="67.5">
      <c r="A8" s="143" t="s">
        <v>558</v>
      </c>
      <c r="B8" s="152" t="s">
        <v>559</v>
      </c>
      <c r="C8" s="148" t="s">
        <v>560</v>
      </c>
      <c r="D8" s="149" t="s">
        <v>561</v>
      </c>
      <c r="E8" s="122"/>
      <c r="F8" s="122"/>
      <c r="G8" s="122"/>
      <c r="H8" s="122"/>
      <c r="I8" s="122"/>
      <c r="J8" s="122"/>
      <c r="K8" s="122"/>
      <c r="L8" s="122"/>
      <c r="M8" s="122"/>
      <c r="N8" s="122"/>
      <c r="O8" s="122"/>
      <c r="P8" s="122"/>
      <c r="Q8" s="122"/>
      <c r="R8" s="122"/>
      <c r="S8" s="122"/>
      <c r="T8" s="122"/>
      <c r="U8" s="122"/>
    </row>
    <row r="9" spans="1:21" ht="20.25">
      <c r="A9" s="143"/>
      <c r="B9" s="143"/>
      <c r="C9" s="153"/>
      <c r="D9" s="153"/>
      <c r="E9" s="122"/>
      <c r="F9" s="122"/>
      <c r="G9" s="122"/>
      <c r="H9" s="122"/>
      <c r="I9" s="122"/>
      <c r="J9" s="122"/>
      <c r="K9" s="122"/>
      <c r="L9" s="122"/>
      <c r="M9" s="122"/>
      <c r="N9" s="122"/>
      <c r="O9" s="122"/>
      <c r="P9" s="122"/>
      <c r="Q9" s="122"/>
      <c r="R9" s="122"/>
      <c r="S9" s="122"/>
      <c r="T9" s="122"/>
      <c r="U9" s="122"/>
    </row>
    <row r="10" spans="1:21" ht="16.5">
      <c r="A10" s="143"/>
      <c r="B10" s="154"/>
      <c r="C10" s="154"/>
      <c r="D10" s="154"/>
      <c r="E10" s="122"/>
      <c r="F10" s="122"/>
      <c r="G10" s="122"/>
      <c r="H10" s="122"/>
      <c r="I10" s="122"/>
      <c r="J10" s="122"/>
      <c r="K10" s="122"/>
      <c r="L10" s="122"/>
      <c r="M10" s="122"/>
      <c r="N10" s="122"/>
      <c r="O10" s="122"/>
      <c r="P10" s="122"/>
      <c r="Q10" s="122"/>
      <c r="R10" s="122"/>
      <c r="S10" s="122"/>
      <c r="T10" s="122"/>
      <c r="U10" s="122"/>
    </row>
    <row r="11" spans="1:21">
      <c r="A11" s="143"/>
      <c r="B11" s="143" t="s">
        <v>562</v>
      </c>
      <c r="C11" s="143" t="s">
        <v>563</v>
      </c>
      <c r="D11" s="143" t="s">
        <v>564</v>
      </c>
      <c r="E11" s="122"/>
      <c r="F11" s="122"/>
      <c r="G11" s="122"/>
      <c r="H11" s="122"/>
      <c r="I11" s="122"/>
      <c r="J11" s="122"/>
      <c r="K11" s="122"/>
      <c r="L11" s="122"/>
      <c r="M11" s="122"/>
      <c r="N11" s="122"/>
      <c r="O11" s="122"/>
      <c r="P11" s="122"/>
      <c r="Q11" s="122"/>
      <c r="R11" s="122"/>
      <c r="S11" s="122"/>
      <c r="T11" s="122"/>
      <c r="U11" s="122"/>
    </row>
    <row r="12" spans="1:21">
      <c r="A12" s="143"/>
      <c r="B12" s="143" t="s">
        <v>565</v>
      </c>
      <c r="C12" s="143" t="s">
        <v>566</v>
      </c>
      <c r="D12" s="143" t="s">
        <v>281</v>
      </c>
      <c r="E12" s="122"/>
      <c r="F12" s="122"/>
      <c r="G12" s="122"/>
      <c r="H12" s="122"/>
      <c r="I12" s="122"/>
      <c r="J12" s="122"/>
      <c r="K12" s="122"/>
      <c r="L12" s="122"/>
      <c r="M12" s="122"/>
      <c r="N12" s="122"/>
      <c r="O12" s="122"/>
      <c r="P12" s="122"/>
      <c r="Q12" s="122"/>
      <c r="R12" s="122"/>
      <c r="S12" s="122"/>
      <c r="T12" s="122"/>
      <c r="U12" s="122"/>
    </row>
    <row r="13" spans="1:21">
      <c r="A13" s="143"/>
      <c r="B13" s="143"/>
      <c r="C13" s="143" t="s">
        <v>194</v>
      </c>
      <c r="D13" s="143" t="s">
        <v>62</v>
      </c>
      <c r="E13" s="122"/>
      <c r="F13" s="122"/>
      <c r="G13" s="122"/>
      <c r="H13" s="122"/>
      <c r="I13" s="122"/>
      <c r="J13" s="122"/>
      <c r="K13" s="122"/>
      <c r="L13" s="122"/>
      <c r="M13" s="122"/>
      <c r="N13" s="122"/>
      <c r="O13" s="122"/>
      <c r="P13" s="122"/>
      <c r="Q13" s="122"/>
      <c r="R13" s="122"/>
      <c r="S13" s="122"/>
      <c r="T13" s="122"/>
      <c r="U13" s="122"/>
    </row>
    <row r="14" spans="1:21">
      <c r="A14" s="143"/>
      <c r="B14" s="143"/>
      <c r="C14" s="143" t="s">
        <v>319</v>
      </c>
      <c r="D14" s="143" t="s">
        <v>77</v>
      </c>
      <c r="E14" s="122"/>
      <c r="F14" s="122"/>
      <c r="G14" s="122"/>
      <c r="H14" s="122"/>
      <c r="I14" s="122"/>
      <c r="J14" s="122"/>
      <c r="K14" s="122"/>
      <c r="L14" s="122"/>
      <c r="M14" s="122"/>
      <c r="N14" s="122"/>
      <c r="O14" s="122"/>
      <c r="P14" s="122"/>
      <c r="Q14" s="122"/>
      <c r="R14" s="122"/>
      <c r="S14" s="122"/>
      <c r="T14" s="122"/>
      <c r="U14" s="122"/>
    </row>
    <row r="15" spans="1:21">
      <c r="A15" s="143"/>
      <c r="B15" s="143"/>
      <c r="C15" s="143" t="s">
        <v>237</v>
      </c>
      <c r="D15" s="143" t="s">
        <v>101</v>
      </c>
      <c r="E15" s="122"/>
      <c r="F15" s="122"/>
      <c r="G15" s="122"/>
      <c r="H15" s="122"/>
      <c r="I15" s="122"/>
      <c r="J15" s="122"/>
      <c r="K15" s="122"/>
      <c r="L15" s="122"/>
      <c r="M15" s="122"/>
      <c r="N15" s="122"/>
      <c r="O15" s="122"/>
      <c r="P15" s="122"/>
      <c r="Q15" s="122"/>
      <c r="R15" s="122"/>
      <c r="S15" s="122"/>
      <c r="T15" s="122"/>
      <c r="U15" s="122"/>
    </row>
    <row r="16" spans="1:21">
      <c r="A16" s="143"/>
      <c r="B16" s="143"/>
      <c r="C16" s="143"/>
      <c r="D16" s="143"/>
      <c r="E16" s="122"/>
      <c r="F16" s="122"/>
      <c r="G16" s="122"/>
      <c r="H16" s="122"/>
      <c r="I16" s="122"/>
      <c r="J16" s="122"/>
      <c r="K16" s="122"/>
      <c r="L16" s="122"/>
      <c r="M16" s="122"/>
      <c r="N16" s="122"/>
      <c r="O16" s="122"/>
    </row>
    <row r="17" spans="1:15">
      <c r="A17" s="143"/>
      <c r="B17" s="143"/>
      <c r="C17" s="143"/>
      <c r="D17" s="143"/>
      <c r="E17" s="122"/>
      <c r="F17" s="122"/>
      <c r="G17" s="122"/>
      <c r="H17" s="122"/>
      <c r="I17" s="122"/>
      <c r="J17" s="122"/>
      <c r="K17" s="122"/>
      <c r="L17" s="122"/>
      <c r="M17" s="122"/>
      <c r="N17" s="122"/>
      <c r="O17" s="122"/>
    </row>
    <row r="18" spans="1:15">
      <c r="A18" s="143"/>
      <c r="B18" s="122"/>
      <c r="C18" s="122"/>
      <c r="D18" s="122"/>
      <c r="E18" s="122"/>
      <c r="F18" s="122"/>
      <c r="G18" s="122"/>
      <c r="H18" s="122"/>
      <c r="I18" s="122"/>
      <c r="J18" s="122"/>
      <c r="K18" s="122"/>
      <c r="L18" s="122"/>
      <c r="M18" s="122"/>
      <c r="N18" s="122"/>
      <c r="O18" s="122"/>
    </row>
    <row r="19" spans="1:15">
      <c r="A19" s="143"/>
      <c r="B19" s="122"/>
      <c r="C19" s="122"/>
      <c r="D19" s="122"/>
      <c r="E19" s="122"/>
      <c r="F19" s="122"/>
      <c r="G19" s="122"/>
      <c r="H19" s="122"/>
      <c r="I19" s="122"/>
      <c r="J19" s="122"/>
      <c r="K19" s="122"/>
      <c r="L19" s="122"/>
      <c r="M19" s="122"/>
      <c r="N19" s="122"/>
      <c r="O19" s="122"/>
    </row>
    <row r="20" spans="1:15">
      <c r="A20" s="143"/>
      <c r="B20" s="122"/>
      <c r="C20" s="122"/>
      <c r="D20" s="122"/>
      <c r="E20" s="122"/>
      <c r="F20" s="122"/>
      <c r="G20" s="122"/>
      <c r="H20" s="122"/>
      <c r="I20" s="122"/>
      <c r="J20" s="122"/>
      <c r="K20" s="122"/>
      <c r="L20" s="122"/>
      <c r="M20" s="122"/>
      <c r="N20" s="122"/>
      <c r="O20" s="122"/>
    </row>
    <row r="21" spans="1:15" ht="15.75" customHeight="1">
      <c r="A21" s="143"/>
      <c r="B21" s="122"/>
      <c r="C21" s="122"/>
      <c r="D21" s="122"/>
      <c r="E21" s="122"/>
      <c r="F21" s="122"/>
      <c r="G21" s="122"/>
      <c r="H21" s="122"/>
      <c r="I21" s="122"/>
      <c r="J21" s="122"/>
      <c r="K21" s="122"/>
      <c r="L21" s="122"/>
      <c r="M21" s="122"/>
      <c r="N21" s="122"/>
      <c r="O21" s="122"/>
    </row>
    <row r="22" spans="1:15" ht="15.75" customHeight="1">
      <c r="A22" s="143"/>
      <c r="B22" s="143"/>
      <c r="C22" s="153"/>
      <c r="D22" s="153"/>
      <c r="E22" s="122"/>
      <c r="F22" s="122"/>
      <c r="G22" s="122"/>
      <c r="H22" s="122"/>
      <c r="I22" s="122"/>
      <c r="J22" s="122"/>
      <c r="K22" s="122"/>
      <c r="L22" s="122"/>
      <c r="M22" s="122"/>
      <c r="N22" s="122"/>
      <c r="O22" s="122"/>
    </row>
    <row r="23" spans="1:15" ht="15.75" customHeight="1">
      <c r="A23" s="143"/>
      <c r="B23" s="143"/>
      <c r="C23" s="153"/>
      <c r="D23" s="153"/>
      <c r="E23" s="122"/>
      <c r="F23" s="122"/>
      <c r="G23" s="122"/>
      <c r="H23" s="122"/>
      <c r="I23" s="122"/>
      <c r="J23" s="122"/>
      <c r="K23" s="122"/>
      <c r="L23" s="122"/>
      <c r="M23" s="122"/>
      <c r="N23" s="122"/>
      <c r="O23" s="122"/>
    </row>
    <row r="24" spans="1:15" ht="15.75" customHeight="1">
      <c r="A24" s="143"/>
      <c r="B24" s="143"/>
      <c r="C24" s="153"/>
      <c r="D24" s="153"/>
      <c r="E24" s="122"/>
      <c r="F24" s="122"/>
      <c r="G24" s="122"/>
      <c r="H24" s="122"/>
      <c r="I24" s="122"/>
      <c r="J24" s="122"/>
      <c r="K24" s="122"/>
      <c r="L24" s="122"/>
      <c r="M24" s="122"/>
      <c r="N24" s="122"/>
      <c r="O24" s="122"/>
    </row>
    <row r="25" spans="1:15" ht="15.75" customHeight="1">
      <c r="A25" s="143"/>
      <c r="B25" s="143"/>
      <c r="C25" s="153"/>
      <c r="D25" s="153"/>
      <c r="E25" s="122"/>
      <c r="F25" s="122"/>
      <c r="G25" s="122"/>
      <c r="H25" s="122"/>
      <c r="I25" s="122"/>
      <c r="J25" s="122"/>
      <c r="K25" s="122"/>
      <c r="L25" s="122"/>
      <c r="M25" s="122"/>
      <c r="N25" s="122"/>
      <c r="O25" s="122"/>
    </row>
    <row r="26" spans="1:15" ht="15.75" customHeight="1">
      <c r="A26" s="143"/>
      <c r="B26" s="143"/>
      <c r="C26" s="153"/>
      <c r="D26" s="153"/>
      <c r="E26" s="122"/>
      <c r="F26" s="122"/>
      <c r="G26" s="122"/>
      <c r="H26" s="122"/>
      <c r="I26" s="122"/>
      <c r="J26" s="122"/>
      <c r="K26" s="122"/>
      <c r="L26" s="122"/>
      <c r="M26" s="122"/>
      <c r="N26" s="122"/>
      <c r="O26" s="122"/>
    </row>
    <row r="27" spans="1:15" ht="15.75" customHeight="1">
      <c r="A27" s="143"/>
      <c r="B27" s="143"/>
      <c r="C27" s="153"/>
      <c r="D27" s="153"/>
      <c r="E27" s="122"/>
      <c r="F27" s="122"/>
      <c r="G27" s="122"/>
      <c r="H27" s="122"/>
      <c r="I27" s="122"/>
      <c r="J27" s="122"/>
      <c r="K27" s="122"/>
      <c r="L27" s="122"/>
      <c r="M27" s="122"/>
      <c r="N27" s="122"/>
      <c r="O27" s="122"/>
    </row>
    <row r="28" spans="1:15" ht="15.75" customHeight="1">
      <c r="A28" s="143"/>
      <c r="B28" s="143"/>
      <c r="C28" s="153"/>
      <c r="D28" s="153"/>
      <c r="E28" s="122"/>
      <c r="F28" s="122"/>
      <c r="G28" s="122"/>
      <c r="H28" s="122"/>
      <c r="I28" s="122"/>
      <c r="J28" s="122"/>
      <c r="K28" s="122"/>
      <c r="L28" s="122"/>
      <c r="M28" s="122"/>
      <c r="N28" s="122"/>
      <c r="O28" s="122"/>
    </row>
    <row r="29" spans="1:15" ht="15.75" customHeight="1">
      <c r="A29" s="143"/>
      <c r="B29" s="143"/>
      <c r="C29" s="153"/>
      <c r="D29" s="153"/>
      <c r="E29" s="122"/>
      <c r="F29" s="122"/>
      <c r="G29" s="122"/>
      <c r="H29" s="122"/>
      <c r="I29" s="122"/>
      <c r="J29" s="122"/>
      <c r="K29" s="122"/>
      <c r="L29" s="122"/>
      <c r="M29" s="122"/>
      <c r="N29" s="122"/>
      <c r="O29" s="122"/>
    </row>
    <row r="30" spans="1:15" ht="15.75" customHeight="1">
      <c r="A30" s="143"/>
      <c r="B30" s="143"/>
      <c r="C30" s="153"/>
      <c r="D30" s="153"/>
      <c r="E30" s="122"/>
      <c r="F30" s="122"/>
      <c r="G30" s="122"/>
      <c r="H30" s="122"/>
      <c r="I30" s="122"/>
      <c r="J30" s="122"/>
      <c r="K30" s="122"/>
      <c r="L30" s="122"/>
      <c r="M30" s="122"/>
      <c r="N30" s="122"/>
      <c r="O30" s="122"/>
    </row>
    <row r="31" spans="1:15" ht="15.75" customHeight="1">
      <c r="A31" s="143"/>
      <c r="B31" s="143"/>
      <c r="C31" s="153"/>
      <c r="D31" s="153"/>
      <c r="E31" s="122"/>
      <c r="F31" s="122"/>
      <c r="G31" s="122"/>
      <c r="H31" s="122"/>
      <c r="I31" s="122"/>
      <c r="J31" s="122"/>
      <c r="K31" s="122"/>
      <c r="L31" s="122"/>
      <c r="M31" s="122"/>
      <c r="N31" s="122"/>
      <c r="O31" s="122"/>
    </row>
    <row r="32" spans="1:15" ht="15.75" customHeight="1">
      <c r="A32" s="143"/>
      <c r="B32" s="143"/>
      <c r="C32" s="153"/>
      <c r="D32" s="153"/>
      <c r="E32" s="122"/>
      <c r="F32" s="122"/>
      <c r="G32" s="122"/>
      <c r="H32" s="122"/>
      <c r="I32" s="122"/>
      <c r="J32" s="122"/>
      <c r="K32" s="122"/>
      <c r="L32" s="122"/>
      <c r="M32" s="122"/>
      <c r="N32" s="122"/>
      <c r="O32" s="122"/>
    </row>
    <row r="33" spans="1:15" ht="15.75" customHeight="1">
      <c r="A33" s="143"/>
      <c r="B33" s="143"/>
      <c r="C33" s="153"/>
      <c r="D33" s="153"/>
      <c r="E33" s="122"/>
      <c r="F33" s="122"/>
      <c r="G33" s="122"/>
      <c r="H33" s="122"/>
      <c r="I33" s="122"/>
      <c r="J33" s="122"/>
      <c r="K33" s="122"/>
      <c r="L33" s="122"/>
      <c r="M33" s="122"/>
      <c r="N33" s="122"/>
      <c r="O33" s="122"/>
    </row>
    <row r="34" spans="1:15" ht="15.75" customHeight="1">
      <c r="A34" s="143"/>
      <c r="B34" s="143"/>
      <c r="C34" s="153"/>
      <c r="D34" s="153"/>
      <c r="E34" s="122"/>
      <c r="F34" s="122"/>
      <c r="G34" s="122"/>
      <c r="H34" s="122"/>
      <c r="I34" s="122"/>
      <c r="J34" s="122"/>
      <c r="K34" s="122"/>
      <c r="L34" s="122"/>
      <c r="M34" s="122"/>
      <c r="N34" s="122"/>
      <c r="O34" s="122"/>
    </row>
    <row r="35" spans="1:15" ht="15.75" customHeight="1">
      <c r="A35" s="143"/>
      <c r="B35" s="143"/>
      <c r="C35" s="153"/>
      <c r="D35" s="153"/>
      <c r="E35" s="122"/>
      <c r="F35" s="122"/>
      <c r="G35" s="122"/>
      <c r="H35" s="122"/>
      <c r="I35" s="122"/>
      <c r="J35" s="122"/>
      <c r="K35" s="122"/>
      <c r="L35" s="122"/>
      <c r="M35" s="122"/>
      <c r="N35" s="122"/>
      <c r="O35" s="122"/>
    </row>
    <row r="36" spans="1:15" ht="15.75" customHeight="1">
      <c r="A36" s="143"/>
      <c r="B36" s="143"/>
      <c r="C36" s="153"/>
      <c r="D36" s="153"/>
      <c r="E36" s="122"/>
      <c r="F36" s="122"/>
      <c r="G36" s="122"/>
      <c r="H36" s="122"/>
      <c r="I36" s="122"/>
      <c r="J36" s="122"/>
      <c r="K36" s="122"/>
      <c r="L36" s="122"/>
      <c r="M36" s="122"/>
      <c r="N36" s="122"/>
      <c r="O36" s="122"/>
    </row>
    <row r="37" spans="1:15" ht="15.75" customHeight="1">
      <c r="A37" s="143"/>
      <c r="B37" s="143"/>
      <c r="C37" s="153"/>
      <c r="D37" s="153"/>
      <c r="E37" s="122"/>
      <c r="F37" s="122"/>
      <c r="G37" s="122"/>
      <c r="H37" s="122"/>
      <c r="I37" s="122"/>
      <c r="J37" s="122"/>
      <c r="K37" s="122"/>
      <c r="L37" s="122"/>
      <c r="M37" s="122"/>
      <c r="N37" s="122"/>
      <c r="O37" s="122"/>
    </row>
    <row r="38" spans="1:15" ht="15.75" customHeight="1">
      <c r="A38" s="143"/>
      <c r="B38" s="143"/>
      <c r="C38" s="153"/>
      <c r="D38" s="153"/>
      <c r="E38" s="122"/>
      <c r="F38" s="122"/>
      <c r="G38" s="122"/>
      <c r="H38" s="122"/>
      <c r="I38" s="122"/>
      <c r="J38" s="122"/>
      <c r="K38" s="122"/>
      <c r="L38" s="122"/>
      <c r="M38" s="122"/>
      <c r="N38" s="122"/>
      <c r="O38" s="122"/>
    </row>
    <row r="39" spans="1:15" ht="15.75" customHeight="1">
      <c r="A39" s="143"/>
      <c r="B39" s="143"/>
      <c r="C39" s="153"/>
      <c r="D39" s="153"/>
      <c r="E39" s="122"/>
      <c r="F39" s="122"/>
      <c r="G39" s="122"/>
      <c r="H39" s="122"/>
      <c r="I39" s="122"/>
      <c r="J39" s="122"/>
      <c r="K39" s="122"/>
      <c r="L39" s="122"/>
      <c r="M39" s="122"/>
      <c r="N39" s="122"/>
      <c r="O39" s="122"/>
    </row>
    <row r="40" spans="1:15" ht="15.75" customHeight="1">
      <c r="A40" s="143"/>
      <c r="B40" s="143"/>
      <c r="C40" s="153"/>
      <c r="D40" s="153"/>
      <c r="E40" s="122"/>
      <c r="F40" s="122"/>
      <c r="G40" s="122"/>
      <c r="H40" s="122"/>
      <c r="I40" s="122"/>
      <c r="J40" s="122"/>
      <c r="K40" s="122"/>
      <c r="L40" s="122"/>
      <c r="M40" s="122"/>
      <c r="N40" s="122"/>
      <c r="O40" s="122"/>
    </row>
    <row r="41" spans="1:15" ht="15.75" customHeight="1">
      <c r="A41" s="143"/>
      <c r="B41" s="143"/>
      <c r="C41" s="153"/>
      <c r="D41" s="153"/>
      <c r="E41" s="122"/>
      <c r="F41" s="122"/>
      <c r="G41" s="122"/>
      <c r="H41" s="122"/>
      <c r="I41" s="122"/>
      <c r="J41" s="122"/>
      <c r="K41" s="122"/>
      <c r="L41" s="122"/>
      <c r="M41" s="122"/>
      <c r="N41" s="122"/>
      <c r="O41" s="122"/>
    </row>
    <row r="42" spans="1:15" ht="15.75" customHeight="1">
      <c r="A42" s="143"/>
      <c r="B42" s="143"/>
      <c r="C42" s="153"/>
      <c r="D42" s="153"/>
      <c r="E42" s="122"/>
      <c r="F42" s="122"/>
      <c r="G42" s="122"/>
      <c r="H42" s="122"/>
      <c r="I42" s="122"/>
      <c r="J42" s="122"/>
      <c r="K42" s="122"/>
      <c r="L42" s="122"/>
      <c r="M42" s="122"/>
      <c r="N42" s="122"/>
      <c r="O42" s="122"/>
    </row>
    <row r="43" spans="1:15" ht="15.75" customHeight="1">
      <c r="A43" s="143"/>
      <c r="B43" s="143"/>
      <c r="C43" s="153"/>
      <c r="D43" s="153"/>
      <c r="E43" s="122"/>
      <c r="F43" s="122"/>
      <c r="G43" s="122"/>
      <c r="H43" s="122"/>
      <c r="I43" s="122"/>
      <c r="J43" s="122"/>
      <c r="K43" s="122"/>
      <c r="L43" s="122"/>
      <c r="M43" s="122"/>
      <c r="N43" s="122"/>
      <c r="O43" s="122"/>
    </row>
    <row r="44" spans="1:15" ht="15.75" customHeight="1">
      <c r="A44" s="143"/>
      <c r="B44" s="143"/>
      <c r="C44" s="153"/>
      <c r="D44" s="153"/>
      <c r="E44" s="122"/>
      <c r="F44" s="122"/>
      <c r="G44" s="122"/>
      <c r="H44" s="122"/>
      <c r="I44" s="122"/>
      <c r="J44" s="122"/>
      <c r="K44" s="122"/>
      <c r="L44" s="122"/>
      <c r="M44" s="122"/>
      <c r="N44" s="122"/>
      <c r="O44" s="122"/>
    </row>
    <row r="45" spans="1:15" ht="15.75" customHeight="1">
      <c r="A45" s="143"/>
      <c r="B45" s="143"/>
      <c r="C45" s="153"/>
      <c r="D45" s="153"/>
      <c r="E45" s="122"/>
      <c r="F45" s="122"/>
      <c r="G45" s="122"/>
      <c r="H45" s="122"/>
      <c r="I45" s="122"/>
      <c r="J45" s="122"/>
      <c r="K45" s="122"/>
      <c r="L45" s="122"/>
      <c r="M45" s="122"/>
      <c r="N45" s="122"/>
      <c r="O45" s="122"/>
    </row>
    <row r="46" spans="1:15" ht="15.75" customHeight="1">
      <c r="A46" s="143"/>
      <c r="B46" s="143"/>
      <c r="C46" s="153"/>
      <c r="D46" s="153"/>
      <c r="E46" s="122"/>
      <c r="F46" s="122"/>
      <c r="G46" s="122"/>
      <c r="H46" s="122"/>
      <c r="I46" s="122"/>
      <c r="J46" s="122"/>
      <c r="K46" s="122"/>
      <c r="L46" s="122"/>
      <c r="M46" s="122"/>
      <c r="N46" s="122"/>
      <c r="O46" s="122"/>
    </row>
    <row r="47" spans="1:15" ht="15.75" customHeight="1">
      <c r="A47" s="143"/>
      <c r="B47" s="143"/>
      <c r="C47" s="153"/>
      <c r="D47" s="153"/>
      <c r="E47" s="122"/>
      <c r="F47" s="122"/>
      <c r="G47" s="122"/>
      <c r="H47" s="122"/>
      <c r="I47" s="122"/>
      <c r="J47" s="122"/>
      <c r="K47" s="122"/>
      <c r="L47" s="122"/>
      <c r="M47" s="122"/>
      <c r="N47" s="122"/>
      <c r="O47" s="122"/>
    </row>
    <row r="48" spans="1:15" ht="15.75" customHeight="1">
      <c r="A48" s="143"/>
      <c r="B48" s="143"/>
      <c r="C48" s="153"/>
      <c r="D48" s="153"/>
      <c r="E48" s="122"/>
      <c r="F48" s="122"/>
      <c r="G48" s="122"/>
      <c r="H48" s="122"/>
      <c r="I48" s="122"/>
      <c r="J48" s="122"/>
      <c r="K48" s="122"/>
      <c r="L48" s="122"/>
      <c r="M48" s="122"/>
      <c r="N48" s="122"/>
      <c r="O48" s="122"/>
    </row>
    <row r="49" spans="1:15" ht="15.75" customHeight="1">
      <c r="A49" s="143"/>
      <c r="B49" s="143"/>
      <c r="C49" s="153"/>
      <c r="D49" s="153"/>
      <c r="E49" s="122"/>
      <c r="F49" s="122"/>
      <c r="G49" s="122"/>
      <c r="H49" s="122"/>
      <c r="I49" s="122"/>
      <c r="J49" s="122"/>
      <c r="K49" s="122"/>
      <c r="L49" s="122"/>
      <c r="M49" s="122"/>
      <c r="N49" s="122"/>
      <c r="O49" s="122"/>
    </row>
    <row r="50" spans="1:15" ht="15.75" customHeight="1">
      <c r="A50" s="143"/>
      <c r="B50" s="143"/>
      <c r="C50" s="153"/>
      <c r="D50" s="153"/>
      <c r="E50" s="122"/>
      <c r="F50" s="122"/>
      <c r="G50" s="122"/>
      <c r="H50" s="122"/>
      <c r="I50" s="122"/>
      <c r="J50" s="122"/>
      <c r="K50" s="122"/>
      <c r="L50" s="122"/>
      <c r="M50" s="122"/>
      <c r="N50" s="122"/>
      <c r="O50" s="122"/>
    </row>
    <row r="51" spans="1:15" ht="15.75" customHeight="1">
      <c r="A51" s="143"/>
      <c r="B51" s="143"/>
      <c r="C51" s="153"/>
      <c r="D51" s="153"/>
      <c r="E51" s="122"/>
      <c r="F51" s="122"/>
      <c r="G51" s="122"/>
      <c r="H51" s="122"/>
      <c r="I51" s="122"/>
      <c r="J51" s="122"/>
      <c r="K51" s="122"/>
      <c r="L51" s="122"/>
      <c r="M51" s="122"/>
      <c r="N51" s="122"/>
      <c r="O51" s="122"/>
    </row>
    <row r="52" spans="1:15" ht="15.75" customHeight="1">
      <c r="A52" s="143"/>
      <c r="B52" s="155"/>
      <c r="C52" s="156"/>
      <c r="D52" s="156"/>
    </row>
    <row r="53" spans="1:15" ht="15.75" customHeight="1">
      <c r="A53" s="143"/>
      <c r="B53" s="155"/>
      <c r="C53" s="156"/>
      <c r="D53" s="156"/>
    </row>
    <row r="54" spans="1:15" ht="15.75" customHeight="1">
      <c r="A54" s="143"/>
      <c r="B54" s="155"/>
      <c r="C54" s="156"/>
      <c r="D54" s="156"/>
    </row>
    <row r="55" spans="1:15" ht="15.75" customHeight="1">
      <c r="A55" s="143"/>
      <c r="B55" s="155"/>
      <c r="C55" s="156"/>
      <c r="D55" s="156"/>
    </row>
    <row r="56" spans="1:15" ht="15.75" customHeight="1">
      <c r="A56" s="143"/>
      <c r="B56" s="155"/>
      <c r="C56" s="156"/>
      <c r="D56" s="156"/>
    </row>
    <row r="57" spans="1:15" ht="15.75" customHeight="1">
      <c r="A57" s="143"/>
      <c r="B57" s="155"/>
      <c r="C57" s="156"/>
      <c r="D57" s="156"/>
    </row>
    <row r="58" spans="1:15" ht="15.75" customHeight="1">
      <c r="A58" s="143"/>
      <c r="B58" s="155"/>
      <c r="C58" s="156"/>
      <c r="D58" s="156"/>
    </row>
    <row r="59" spans="1:15" ht="15.75" customHeight="1">
      <c r="A59" s="143"/>
      <c r="B59" s="155"/>
      <c r="C59" s="156"/>
      <c r="D59" s="156"/>
    </row>
    <row r="60" spans="1:15" ht="15.75" customHeight="1">
      <c r="A60" s="143"/>
      <c r="B60" s="155"/>
      <c r="C60" s="156"/>
      <c r="D60" s="156"/>
    </row>
    <row r="61" spans="1:15" ht="15.75" customHeight="1">
      <c r="A61" s="143"/>
      <c r="B61" s="155"/>
      <c r="C61" s="156"/>
      <c r="D61" s="156"/>
    </row>
    <row r="62" spans="1:15" ht="15.75" customHeight="1">
      <c r="A62" s="143"/>
      <c r="B62" s="155"/>
      <c r="C62" s="156"/>
      <c r="D62" s="156"/>
    </row>
    <row r="63" spans="1:15" ht="15.75" customHeight="1">
      <c r="A63" s="143"/>
      <c r="B63" s="155"/>
      <c r="C63" s="156"/>
      <c r="D63" s="156"/>
    </row>
    <row r="64" spans="1:15" ht="15.75" customHeight="1">
      <c r="A64" s="143"/>
      <c r="B64" s="155"/>
      <c r="C64" s="156"/>
      <c r="D64" s="156"/>
    </row>
    <row r="65" spans="1:4" ht="15.75" customHeight="1">
      <c r="A65" s="143"/>
      <c r="B65" s="155"/>
      <c r="C65" s="156"/>
      <c r="D65" s="156"/>
    </row>
    <row r="66" spans="1:4" ht="15.75" customHeight="1">
      <c r="A66" s="143"/>
      <c r="B66" s="155"/>
      <c r="C66" s="156"/>
      <c r="D66" s="156"/>
    </row>
    <row r="67" spans="1:4" ht="15.75" customHeight="1">
      <c r="A67" s="143"/>
      <c r="B67" s="155"/>
      <c r="C67" s="156"/>
      <c r="D67" s="156"/>
    </row>
    <row r="68" spans="1:4" ht="15.75" customHeight="1">
      <c r="A68" s="143"/>
      <c r="B68" s="155"/>
      <c r="C68" s="156"/>
      <c r="D68" s="156"/>
    </row>
    <row r="69" spans="1:4" ht="15.75" customHeight="1">
      <c r="A69" s="143"/>
      <c r="B69" s="155"/>
      <c r="C69" s="156"/>
      <c r="D69" s="156"/>
    </row>
    <row r="70" spans="1:4" ht="15.75" customHeight="1">
      <c r="A70" s="143"/>
      <c r="B70" s="155"/>
      <c r="C70" s="156"/>
      <c r="D70" s="156"/>
    </row>
    <row r="71" spans="1:4" ht="15.75" customHeight="1">
      <c r="A71" s="143"/>
      <c r="B71" s="155"/>
      <c r="C71" s="156"/>
      <c r="D71" s="156"/>
    </row>
    <row r="72" spans="1:4" ht="15.75" customHeight="1">
      <c r="A72" s="143"/>
      <c r="B72" s="155"/>
      <c r="C72" s="156"/>
      <c r="D72" s="156"/>
    </row>
    <row r="73" spans="1:4" ht="15.75" customHeight="1">
      <c r="A73" s="143"/>
      <c r="B73" s="155"/>
      <c r="C73" s="156"/>
      <c r="D73" s="156"/>
    </row>
    <row r="74" spans="1:4" ht="15.75" customHeight="1">
      <c r="A74" s="143"/>
      <c r="B74" s="155"/>
      <c r="C74" s="156"/>
      <c r="D74" s="156"/>
    </row>
    <row r="75" spans="1:4" ht="15.75" customHeight="1">
      <c r="A75" s="143"/>
      <c r="B75" s="155"/>
      <c r="C75" s="156"/>
      <c r="D75" s="156"/>
    </row>
    <row r="76" spans="1:4" ht="15.75" customHeight="1">
      <c r="A76" s="143"/>
      <c r="B76" s="155"/>
      <c r="C76" s="156"/>
      <c r="D76" s="156"/>
    </row>
    <row r="77" spans="1:4" ht="15.75" customHeight="1">
      <c r="A77" s="143"/>
      <c r="B77" s="155"/>
      <c r="C77" s="156"/>
      <c r="D77" s="156"/>
    </row>
    <row r="78" spans="1:4" ht="15.75" customHeight="1">
      <c r="A78" s="143"/>
      <c r="B78" s="155"/>
      <c r="C78" s="156"/>
      <c r="D78" s="156"/>
    </row>
    <row r="79" spans="1:4" ht="15.75" customHeight="1">
      <c r="A79" s="143"/>
      <c r="B79" s="155"/>
      <c r="C79" s="156"/>
      <c r="D79" s="156"/>
    </row>
    <row r="80" spans="1:4" ht="15.75" customHeight="1">
      <c r="A80" s="143"/>
      <c r="B80" s="155"/>
      <c r="C80" s="156"/>
      <c r="D80" s="156"/>
    </row>
    <row r="81" spans="1:4" ht="15.75" customHeight="1">
      <c r="A81" s="143"/>
      <c r="B81" s="155"/>
      <c r="C81" s="156"/>
      <c r="D81" s="156"/>
    </row>
    <row r="82" spans="1:4" ht="15.75" customHeight="1">
      <c r="A82" s="143"/>
      <c r="B82" s="155"/>
      <c r="C82" s="156"/>
      <c r="D82" s="156"/>
    </row>
    <row r="83" spans="1:4" ht="15.75" customHeight="1">
      <c r="A83" s="143"/>
      <c r="B83" s="155"/>
      <c r="C83" s="156"/>
      <c r="D83" s="156"/>
    </row>
    <row r="84" spans="1:4" ht="15.75" customHeight="1">
      <c r="A84" s="143"/>
      <c r="B84" s="155"/>
      <c r="C84" s="156"/>
      <c r="D84" s="156"/>
    </row>
    <row r="85" spans="1:4" ht="15.75" customHeight="1">
      <c r="A85" s="143"/>
      <c r="B85" s="155"/>
      <c r="C85" s="156"/>
      <c r="D85" s="156"/>
    </row>
    <row r="86" spans="1:4" ht="15.75" customHeight="1">
      <c r="A86" s="143"/>
      <c r="B86" s="155"/>
      <c r="C86" s="156"/>
      <c r="D86" s="156"/>
    </row>
    <row r="87" spans="1:4" ht="15.75" customHeight="1">
      <c r="A87" s="143"/>
      <c r="B87" s="155"/>
      <c r="C87" s="156"/>
      <c r="D87" s="156"/>
    </row>
    <row r="88" spans="1:4" ht="15.75" customHeight="1">
      <c r="A88" s="143"/>
      <c r="B88" s="155"/>
      <c r="C88" s="156"/>
      <c r="D88" s="156"/>
    </row>
    <row r="89" spans="1:4" ht="15.75" customHeight="1">
      <c r="A89" s="143"/>
      <c r="B89" s="155"/>
      <c r="C89" s="156"/>
      <c r="D89" s="156"/>
    </row>
    <row r="90" spans="1:4" ht="15.75" customHeight="1">
      <c r="A90" s="143"/>
      <c r="B90" s="155"/>
      <c r="C90" s="156"/>
      <c r="D90" s="156"/>
    </row>
    <row r="91" spans="1:4" ht="15.75" customHeight="1">
      <c r="A91" s="143"/>
      <c r="B91" s="155"/>
      <c r="C91" s="156"/>
      <c r="D91" s="156"/>
    </row>
    <row r="92" spans="1:4" ht="15.75" customHeight="1">
      <c r="A92" s="143"/>
      <c r="B92" s="155"/>
      <c r="C92" s="156"/>
      <c r="D92" s="156"/>
    </row>
    <row r="93" spans="1:4" ht="15.75" customHeight="1">
      <c r="A93" s="143"/>
      <c r="B93" s="155"/>
      <c r="C93" s="156"/>
      <c r="D93" s="156"/>
    </row>
    <row r="94" spans="1:4" ht="15.75" customHeight="1">
      <c r="A94" s="143"/>
      <c r="B94" s="155"/>
      <c r="C94" s="156"/>
      <c r="D94" s="156"/>
    </row>
    <row r="95" spans="1:4" ht="15.75" customHeight="1">
      <c r="A95" s="143"/>
      <c r="B95" s="155"/>
      <c r="C95" s="156"/>
      <c r="D95" s="156"/>
    </row>
    <row r="96" spans="1:4" ht="15.75" customHeight="1">
      <c r="A96" s="143"/>
      <c r="B96" s="155"/>
      <c r="C96" s="156"/>
      <c r="D96" s="156"/>
    </row>
    <row r="97" spans="1:4" ht="15.75" customHeight="1">
      <c r="A97" s="143"/>
      <c r="B97" s="155"/>
      <c r="C97" s="156"/>
      <c r="D97" s="156"/>
    </row>
    <row r="98" spans="1:4" ht="15.75" customHeight="1">
      <c r="A98" s="143"/>
      <c r="B98" s="155"/>
      <c r="C98" s="156"/>
      <c r="D98" s="156"/>
    </row>
    <row r="99" spans="1:4" ht="15.75" customHeight="1">
      <c r="A99" s="143"/>
      <c r="B99" s="155"/>
      <c r="C99" s="156"/>
      <c r="D99" s="156"/>
    </row>
    <row r="100" spans="1:4" ht="15.75" customHeight="1">
      <c r="A100" s="143"/>
      <c r="B100" s="155"/>
      <c r="C100" s="156"/>
      <c r="D100" s="156"/>
    </row>
    <row r="101" spans="1:4" ht="15.75" customHeight="1">
      <c r="A101" s="143"/>
      <c r="B101" s="155"/>
      <c r="C101" s="156"/>
      <c r="D101" s="156"/>
    </row>
    <row r="102" spans="1:4" ht="15.75" customHeight="1">
      <c r="A102" s="143"/>
      <c r="B102" s="155"/>
      <c r="C102" s="156"/>
      <c r="D102" s="156"/>
    </row>
    <row r="103" spans="1:4" ht="15.75" customHeight="1">
      <c r="A103" s="143"/>
      <c r="B103" s="155"/>
      <c r="C103" s="156"/>
      <c r="D103" s="156"/>
    </row>
    <row r="104" spans="1:4" ht="15.75" customHeight="1">
      <c r="A104" s="143"/>
      <c r="B104" s="155"/>
      <c r="C104" s="156"/>
      <c r="D104" s="156"/>
    </row>
    <row r="105" spans="1:4" ht="15.75" customHeight="1">
      <c r="A105" s="143"/>
      <c r="B105" s="155"/>
      <c r="C105" s="156"/>
      <c r="D105" s="156"/>
    </row>
    <row r="106" spans="1:4" ht="15.75" customHeight="1">
      <c r="A106" s="143"/>
      <c r="B106" s="155"/>
      <c r="C106" s="156"/>
      <c r="D106" s="156"/>
    </row>
    <row r="107" spans="1:4" ht="15.75" customHeight="1">
      <c r="A107" s="143"/>
      <c r="B107" s="155"/>
      <c r="C107" s="156"/>
      <c r="D107" s="156"/>
    </row>
    <row r="108" spans="1:4" ht="15.75" customHeight="1">
      <c r="A108" s="143"/>
      <c r="B108" s="155"/>
      <c r="C108" s="156"/>
      <c r="D108" s="156"/>
    </row>
    <row r="109" spans="1:4" ht="15.75" customHeight="1">
      <c r="A109" s="143"/>
      <c r="B109" s="155"/>
      <c r="C109" s="156"/>
      <c r="D109" s="156"/>
    </row>
    <row r="110" spans="1:4" ht="15.75" customHeight="1">
      <c r="A110" s="143"/>
      <c r="B110" s="155"/>
      <c r="C110" s="156"/>
      <c r="D110" s="156"/>
    </row>
    <row r="111" spans="1:4" ht="15.75" customHeight="1">
      <c r="A111" s="143"/>
      <c r="B111" s="155"/>
      <c r="C111" s="156"/>
      <c r="D111" s="156"/>
    </row>
    <row r="112" spans="1:4" ht="15.75" customHeight="1">
      <c r="A112" s="143"/>
      <c r="B112" s="155"/>
      <c r="C112" s="156"/>
      <c r="D112" s="156"/>
    </row>
    <row r="113" spans="1:4" ht="15.75" customHeight="1">
      <c r="A113" s="143"/>
      <c r="B113" s="155"/>
      <c r="C113" s="156"/>
      <c r="D113" s="156"/>
    </row>
    <row r="114" spans="1:4" ht="15.75" customHeight="1">
      <c r="A114" s="143"/>
      <c r="B114" s="155"/>
      <c r="C114" s="156"/>
      <c r="D114" s="156"/>
    </row>
    <row r="115" spans="1:4" ht="15.75" customHeight="1">
      <c r="A115" s="143"/>
      <c r="B115" s="155"/>
      <c r="C115" s="156"/>
      <c r="D115" s="156"/>
    </row>
    <row r="116" spans="1:4" ht="15.75" customHeight="1">
      <c r="A116" s="143"/>
      <c r="B116" s="155"/>
      <c r="C116" s="156"/>
      <c r="D116" s="156"/>
    </row>
    <row r="117" spans="1:4" ht="15.75" customHeight="1">
      <c r="A117" s="143"/>
      <c r="B117" s="155"/>
      <c r="C117" s="156"/>
      <c r="D117" s="156"/>
    </row>
    <row r="118" spans="1:4" ht="15.75" customHeight="1">
      <c r="A118" s="143"/>
      <c r="B118" s="155"/>
      <c r="C118" s="156"/>
      <c r="D118" s="156"/>
    </row>
    <row r="119" spans="1:4" ht="15.75" customHeight="1">
      <c r="A119" s="143"/>
      <c r="B119" s="155"/>
      <c r="C119" s="156"/>
      <c r="D119" s="156"/>
    </row>
    <row r="120" spans="1:4" ht="15.75" customHeight="1">
      <c r="A120" s="143"/>
      <c r="B120" s="155"/>
      <c r="C120" s="156"/>
      <c r="D120" s="156"/>
    </row>
    <row r="121" spans="1:4" ht="15.75" customHeight="1">
      <c r="A121" s="143"/>
      <c r="B121" s="155"/>
      <c r="C121" s="156"/>
      <c r="D121" s="156"/>
    </row>
    <row r="122" spans="1:4" ht="15.75" customHeight="1">
      <c r="A122" s="143"/>
      <c r="B122" s="155"/>
      <c r="C122" s="156"/>
      <c r="D122" s="156"/>
    </row>
    <row r="123" spans="1:4" ht="15.75" customHeight="1">
      <c r="A123" s="143"/>
      <c r="B123" s="155"/>
      <c r="C123" s="156"/>
      <c r="D123" s="156"/>
    </row>
    <row r="124" spans="1:4" ht="15.75" customHeight="1">
      <c r="A124" s="143"/>
      <c r="B124" s="155"/>
      <c r="C124" s="156"/>
      <c r="D124" s="156"/>
    </row>
    <row r="125" spans="1:4" ht="15.75" customHeight="1">
      <c r="A125" s="143"/>
      <c r="B125" s="155"/>
      <c r="C125" s="156"/>
      <c r="D125" s="156"/>
    </row>
    <row r="126" spans="1:4" ht="15.75" customHeight="1">
      <c r="A126" s="143"/>
      <c r="B126" s="155"/>
      <c r="C126" s="156"/>
      <c r="D126" s="156"/>
    </row>
    <row r="127" spans="1:4" ht="15.75" customHeight="1">
      <c r="A127" s="143"/>
      <c r="B127" s="155"/>
      <c r="C127" s="156"/>
      <c r="D127" s="156"/>
    </row>
    <row r="128" spans="1:4" ht="15.75" customHeight="1">
      <c r="A128" s="143"/>
      <c r="B128" s="155"/>
      <c r="C128" s="156"/>
      <c r="D128" s="156"/>
    </row>
    <row r="129" spans="1:4" ht="15.75" customHeight="1">
      <c r="A129" s="143"/>
      <c r="B129" s="155"/>
      <c r="C129" s="156"/>
      <c r="D129" s="156"/>
    </row>
    <row r="130" spans="1:4" ht="15.75" customHeight="1">
      <c r="A130" s="143"/>
      <c r="B130" s="155"/>
      <c r="C130" s="156"/>
      <c r="D130" s="156"/>
    </row>
    <row r="131" spans="1:4" ht="15.75" customHeight="1">
      <c r="A131" s="143"/>
      <c r="B131" s="155"/>
      <c r="C131" s="156"/>
      <c r="D131" s="156"/>
    </row>
    <row r="132" spans="1:4" ht="15.75" customHeight="1">
      <c r="A132" s="143"/>
      <c r="B132" s="155"/>
      <c r="C132" s="156"/>
      <c r="D132" s="156"/>
    </row>
    <row r="133" spans="1:4" ht="15.75" customHeight="1">
      <c r="A133" s="143"/>
      <c r="B133" s="155"/>
      <c r="C133" s="156"/>
      <c r="D133" s="156"/>
    </row>
    <row r="134" spans="1:4" ht="15.75" customHeight="1">
      <c r="A134" s="143"/>
      <c r="B134" s="155"/>
      <c r="C134" s="156"/>
      <c r="D134" s="156"/>
    </row>
    <row r="135" spans="1:4" ht="15.75" customHeight="1">
      <c r="A135" s="143"/>
      <c r="B135" s="155"/>
      <c r="C135" s="156"/>
      <c r="D135" s="156"/>
    </row>
    <row r="136" spans="1:4" ht="15.75" customHeight="1">
      <c r="A136" s="143"/>
      <c r="B136" s="155"/>
      <c r="C136" s="156"/>
      <c r="D136" s="156"/>
    </row>
    <row r="137" spans="1:4" ht="15.75" customHeight="1">
      <c r="A137" s="143"/>
      <c r="B137" s="155"/>
      <c r="C137" s="156"/>
      <c r="D137" s="156"/>
    </row>
    <row r="138" spans="1:4" ht="15.75" customHeight="1">
      <c r="A138" s="143"/>
      <c r="B138" s="155"/>
      <c r="C138" s="156"/>
      <c r="D138" s="156"/>
    </row>
    <row r="139" spans="1:4" ht="15.75" customHeight="1">
      <c r="A139" s="143"/>
      <c r="B139" s="155"/>
      <c r="C139" s="156"/>
      <c r="D139" s="156"/>
    </row>
    <row r="140" spans="1:4" ht="15.75" customHeight="1">
      <c r="A140" s="143"/>
      <c r="B140" s="155"/>
      <c r="C140" s="156"/>
      <c r="D140" s="156"/>
    </row>
    <row r="141" spans="1:4" ht="15.75" customHeight="1">
      <c r="A141" s="143"/>
      <c r="B141" s="155"/>
      <c r="C141" s="156"/>
      <c r="D141" s="156"/>
    </row>
    <row r="142" spans="1:4" ht="15.75" customHeight="1">
      <c r="A142" s="143"/>
      <c r="B142" s="155"/>
      <c r="C142" s="156"/>
      <c r="D142" s="156"/>
    </row>
    <row r="143" spans="1:4" ht="15.75" customHeight="1">
      <c r="A143" s="143"/>
      <c r="B143" s="155"/>
      <c r="C143" s="156"/>
      <c r="D143" s="156"/>
    </row>
    <row r="144" spans="1:4" ht="15.75" customHeight="1">
      <c r="A144" s="143"/>
      <c r="B144" s="155"/>
      <c r="C144" s="156"/>
      <c r="D144" s="156"/>
    </row>
    <row r="145" spans="1:4" ht="15.75" customHeight="1">
      <c r="A145" s="143"/>
      <c r="B145" s="155"/>
      <c r="C145" s="156"/>
      <c r="D145" s="156"/>
    </row>
    <row r="146" spans="1:4" ht="15.75" customHeight="1">
      <c r="A146" s="143"/>
      <c r="B146" s="155"/>
      <c r="C146" s="156"/>
      <c r="D146" s="156"/>
    </row>
    <row r="147" spans="1:4" ht="15.75" customHeight="1">
      <c r="A147" s="143"/>
      <c r="B147" s="155"/>
      <c r="C147" s="156"/>
      <c r="D147" s="156"/>
    </row>
    <row r="148" spans="1:4" ht="15.75" customHeight="1">
      <c r="A148" s="143"/>
      <c r="B148" s="155"/>
      <c r="C148" s="156"/>
      <c r="D148" s="156"/>
    </row>
    <row r="149" spans="1:4" ht="15.75" customHeight="1">
      <c r="A149" s="143"/>
      <c r="B149" s="155"/>
      <c r="C149" s="156"/>
      <c r="D149" s="156"/>
    </row>
    <row r="150" spans="1:4" ht="15.75" customHeight="1">
      <c r="A150" s="143"/>
      <c r="B150" s="155"/>
      <c r="C150" s="156"/>
      <c r="D150" s="156"/>
    </row>
    <row r="151" spans="1:4" ht="15.75" customHeight="1">
      <c r="A151" s="143"/>
      <c r="B151" s="155"/>
      <c r="C151" s="156"/>
      <c r="D151" s="156"/>
    </row>
    <row r="152" spans="1:4" ht="15.75" customHeight="1">
      <c r="A152" s="143"/>
      <c r="B152" s="155"/>
      <c r="C152" s="156"/>
      <c r="D152" s="156"/>
    </row>
    <row r="153" spans="1:4" ht="15.75" customHeight="1">
      <c r="A153" s="143"/>
      <c r="B153" s="155"/>
      <c r="C153" s="156"/>
      <c r="D153" s="156"/>
    </row>
    <row r="154" spans="1:4" ht="15.75" customHeight="1">
      <c r="A154" s="143"/>
      <c r="B154" s="155"/>
      <c r="C154" s="156"/>
      <c r="D154" s="156"/>
    </row>
    <row r="155" spans="1:4" ht="15.75" customHeight="1">
      <c r="A155" s="143"/>
      <c r="B155" s="155"/>
      <c r="C155" s="156"/>
      <c r="D155" s="156"/>
    </row>
    <row r="156" spans="1:4" ht="15.75" customHeight="1">
      <c r="A156" s="143"/>
      <c r="B156" s="155"/>
      <c r="C156" s="156"/>
      <c r="D156" s="156"/>
    </row>
    <row r="157" spans="1:4" ht="15.75" customHeight="1">
      <c r="A157" s="143"/>
      <c r="B157" s="155"/>
      <c r="C157" s="156"/>
      <c r="D157" s="156"/>
    </row>
    <row r="158" spans="1:4" ht="15.75" customHeight="1">
      <c r="A158" s="143"/>
      <c r="B158" s="155"/>
      <c r="C158" s="156"/>
      <c r="D158" s="156"/>
    </row>
    <row r="159" spans="1:4" ht="15.75" customHeight="1">
      <c r="A159" s="143"/>
      <c r="B159" s="155"/>
      <c r="C159" s="156"/>
      <c r="D159" s="156"/>
    </row>
    <row r="160" spans="1:4" ht="15.75" customHeight="1">
      <c r="A160" s="143"/>
      <c r="B160" s="155"/>
      <c r="C160" s="156"/>
      <c r="D160" s="156"/>
    </row>
    <row r="161" spans="1:4" ht="15.75" customHeight="1">
      <c r="A161" s="143"/>
      <c r="B161" s="155"/>
      <c r="C161" s="156"/>
      <c r="D161" s="156"/>
    </row>
    <row r="162" spans="1:4" ht="15.75" customHeight="1">
      <c r="A162" s="143"/>
      <c r="B162" s="155"/>
      <c r="C162" s="156"/>
      <c r="D162" s="156"/>
    </row>
    <row r="163" spans="1:4" ht="15.75" customHeight="1">
      <c r="A163" s="143"/>
      <c r="B163" s="155"/>
      <c r="C163" s="156"/>
      <c r="D163" s="156"/>
    </row>
    <row r="164" spans="1:4" ht="15.75" customHeight="1">
      <c r="A164" s="143"/>
      <c r="B164" s="155"/>
      <c r="C164" s="156"/>
      <c r="D164" s="156"/>
    </row>
    <row r="165" spans="1:4" ht="15.75" customHeight="1">
      <c r="A165" s="143"/>
      <c r="B165" s="155"/>
      <c r="C165" s="156"/>
      <c r="D165" s="156"/>
    </row>
    <row r="166" spans="1:4" ht="15.75" customHeight="1">
      <c r="A166" s="143"/>
      <c r="B166" s="155"/>
      <c r="C166" s="156"/>
      <c r="D166" s="156"/>
    </row>
    <row r="167" spans="1:4" ht="15.75" customHeight="1">
      <c r="A167" s="143"/>
      <c r="B167" s="155"/>
      <c r="C167" s="156"/>
      <c r="D167" s="156"/>
    </row>
    <row r="168" spans="1:4" ht="15.75" customHeight="1">
      <c r="A168" s="143"/>
      <c r="B168" s="155"/>
      <c r="C168" s="156"/>
      <c r="D168" s="156"/>
    </row>
    <row r="169" spans="1:4" ht="15.75" customHeight="1">
      <c r="A169" s="143"/>
      <c r="B169" s="155"/>
      <c r="C169" s="156"/>
      <c r="D169" s="156"/>
    </row>
    <row r="170" spans="1:4" ht="15.75" customHeight="1">
      <c r="A170" s="143"/>
      <c r="B170" s="155"/>
      <c r="C170" s="156"/>
      <c r="D170" s="156"/>
    </row>
    <row r="171" spans="1:4" ht="15.75" customHeight="1">
      <c r="A171" s="143"/>
      <c r="B171" s="155"/>
      <c r="C171" s="156"/>
      <c r="D171" s="156"/>
    </row>
    <row r="172" spans="1:4" ht="15.75" customHeight="1">
      <c r="A172" s="143"/>
      <c r="B172" s="155"/>
      <c r="C172" s="156"/>
      <c r="D172" s="156"/>
    </row>
    <row r="173" spans="1:4" ht="15.75" customHeight="1">
      <c r="A173" s="143"/>
      <c r="B173" s="155"/>
      <c r="C173" s="156"/>
      <c r="D173" s="156"/>
    </row>
    <row r="174" spans="1:4" ht="15.75" customHeight="1">
      <c r="A174" s="143"/>
      <c r="B174" s="155"/>
      <c r="C174" s="156"/>
      <c r="D174" s="156"/>
    </row>
    <row r="175" spans="1:4" ht="15.75" customHeight="1">
      <c r="A175" s="143"/>
      <c r="B175" s="155"/>
      <c r="C175" s="156"/>
      <c r="D175" s="156"/>
    </row>
    <row r="176" spans="1:4" ht="15.75" customHeight="1">
      <c r="A176" s="143"/>
      <c r="B176" s="155"/>
      <c r="C176" s="156"/>
      <c r="D176" s="156"/>
    </row>
    <row r="177" spans="1:4" ht="15.75" customHeight="1">
      <c r="A177" s="143"/>
      <c r="B177" s="155"/>
      <c r="C177" s="156"/>
      <c r="D177" s="156"/>
    </row>
    <row r="178" spans="1:4" ht="15.75" customHeight="1">
      <c r="A178" s="143"/>
      <c r="B178" s="155"/>
      <c r="C178" s="156"/>
      <c r="D178" s="156"/>
    </row>
    <row r="179" spans="1:4" ht="15.75" customHeight="1">
      <c r="A179" s="143"/>
      <c r="B179" s="155"/>
      <c r="C179" s="156"/>
      <c r="D179" s="156"/>
    </row>
    <row r="180" spans="1:4" ht="15.75" customHeight="1">
      <c r="A180" s="143"/>
      <c r="B180" s="155"/>
      <c r="C180" s="156"/>
      <c r="D180" s="156"/>
    </row>
    <row r="181" spans="1:4" ht="15.75" customHeight="1">
      <c r="A181" s="143"/>
      <c r="B181" s="155"/>
      <c r="C181" s="156"/>
      <c r="D181" s="156"/>
    </row>
    <row r="182" spans="1:4" ht="15.75" customHeight="1">
      <c r="A182" s="143"/>
      <c r="B182" s="155"/>
      <c r="C182" s="156"/>
      <c r="D182" s="156"/>
    </row>
    <row r="183" spans="1:4" ht="15.75" customHeight="1">
      <c r="A183" s="143"/>
      <c r="B183" s="155"/>
      <c r="C183" s="156"/>
      <c r="D183" s="156"/>
    </row>
    <row r="184" spans="1:4" ht="15.75" customHeight="1">
      <c r="A184" s="143"/>
      <c r="B184" s="155"/>
      <c r="C184" s="156"/>
      <c r="D184" s="156"/>
    </row>
    <row r="185" spans="1:4" ht="15.75" customHeight="1">
      <c r="A185" s="143"/>
      <c r="B185" s="155"/>
      <c r="C185" s="156"/>
      <c r="D185" s="156"/>
    </row>
    <row r="186" spans="1:4" ht="15.75" customHeight="1">
      <c r="A186" s="143"/>
      <c r="B186" s="155"/>
      <c r="C186" s="156"/>
      <c r="D186" s="156"/>
    </row>
    <row r="187" spans="1:4" ht="15.75" customHeight="1">
      <c r="A187" s="143"/>
      <c r="B187" s="155"/>
      <c r="C187" s="156"/>
      <c r="D187" s="156"/>
    </row>
    <row r="188" spans="1:4" ht="15.75" customHeight="1">
      <c r="A188" s="143"/>
      <c r="B188" s="155"/>
      <c r="C188" s="156"/>
      <c r="D188" s="156"/>
    </row>
    <row r="189" spans="1:4" ht="15.75" customHeight="1">
      <c r="A189" s="143"/>
      <c r="B189" s="155"/>
      <c r="C189" s="156"/>
      <c r="D189" s="156"/>
    </row>
    <row r="190" spans="1:4" ht="15.75" customHeight="1">
      <c r="A190" s="143"/>
      <c r="B190" s="155"/>
      <c r="C190" s="156"/>
      <c r="D190" s="156"/>
    </row>
    <row r="191" spans="1:4" ht="15.75" customHeight="1">
      <c r="A191" s="143"/>
      <c r="B191" s="155"/>
      <c r="C191" s="156"/>
      <c r="D191" s="156"/>
    </row>
    <row r="192" spans="1:4" ht="15.75" customHeight="1">
      <c r="A192" s="143"/>
      <c r="B192" s="155"/>
      <c r="C192" s="156"/>
      <c r="D192" s="156"/>
    </row>
    <row r="193" spans="1:4" ht="15.75" customHeight="1">
      <c r="A193" s="143"/>
      <c r="B193" s="155"/>
      <c r="C193" s="156"/>
      <c r="D193" s="156"/>
    </row>
    <row r="194" spans="1:4" ht="15.75" customHeight="1">
      <c r="A194" s="143"/>
      <c r="B194" s="155"/>
      <c r="C194" s="156"/>
      <c r="D194" s="156"/>
    </row>
    <row r="195" spans="1:4" ht="15.75" customHeight="1">
      <c r="A195" s="143"/>
      <c r="B195" s="155"/>
      <c r="C195" s="156"/>
      <c r="D195" s="156"/>
    </row>
    <row r="196" spans="1:4" ht="15.75" customHeight="1">
      <c r="A196" s="143"/>
      <c r="B196" s="155"/>
      <c r="C196" s="156"/>
      <c r="D196" s="156"/>
    </row>
    <row r="197" spans="1:4" ht="15.75" customHeight="1">
      <c r="A197" s="143"/>
      <c r="B197" s="155"/>
      <c r="C197" s="156"/>
      <c r="D197" s="156"/>
    </row>
    <row r="198" spans="1:4" ht="15.75" customHeight="1">
      <c r="A198" s="143"/>
      <c r="B198" s="155"/>
      <c r="C198" s="156"/>
      <c r="D198" s="156"/>
    </row>
    <row r="199" spans="1:4" ht="15.75" customHeight="1">
      <c r="A199" s="143"/>
      <c r="B199" s="155"/>
      <c r="C199" s="156"/>
      <c r="D199" s="156"/>
    </row>
    <row r="200" spans="1:4" ht="15.75" customHeight="1">
      <c r="A200" s="143"/>
      <c r="B200" s="155"/>
      <c r="C200" s="156"/>
      <c r="D200" s="156"/>
    </row>
    <row r="201" spans="1:4" ht="15.75" customHeight="1">
      <c r="A201" s="143"/>
      <c r="B201" s="155"/>
      <c r="C201" s="156"/>
      <c r="D201" s="156"/>
    </row>
    <row r="202" spans="1:4" ht="15.75" customHeight="1">
      <c r="A202" s="143"/>
      <c r="B202" s="155"/>
      <c r="C202" s="156"/>
      <c r="D202" s="156"/>
    </row>
    <row r="203" spans="1:4" ht="15.75" customHeight="1">
      <c r="A203" s="143"/>
      <c r="B203" s="155"/>
      <c r="C203" s="156"/>
      <c r="D203" s="156"/>
    </row>
    <row r="204" spans="1:4" ht="15.75" customHeight="1">
      <c r="A204" s="143"/>
      <c r="B204" s="155"/>
      <c r="C204" s="156"/>
      <c r="D204" s="156"/>
    </row>
    <row r="205" spans="1:4" ht="15.75" customHeight="1">
      <c r="A205" s="143"/>
      <c r="B205" s="155"/>
      <c r="C205" s="156"/>
      <c r="D205" s="156"/>
    </row>
    <row r="206" spans="1:4" ht="15.75" customHeight="1">
      <c r="A206" s="143"/>
      <c r="B206" s="155"/>
      <c r="C206" s="156"/>
      <c r="D206" s="156"/>
    </row>
    <row r="207" spans="1:4" ht="15.75" customHeight="1">
      <c r="A207" s="143"/>
      <c r="B207" s="155"/>
      <c r="C207" s="156"/>
      <c r="D207" s="156"/>
    </row>
    <row r="208" spans="1:4" ht="15.75" customHeight="1">
      <c r="A208" s="122"/>
      <c r="B208" s="155"/>
      <c r="C208" s="155"/>
      <c r="D208" s="155"/>
    </row>
    <row r="209" spans="1:8" ht="15.75" customHeight="1">
      <c r="A209" s="122"/>
      <c r="B209" s="157" t="s">
        <v>567</v>
      </c>
      <c r="C209" s="157" t="s">
        <v>568</v>
      </c>
      <c r="D209" s="48" t="s">
        <v>567</v>
      </c>
      <c r="E209" s="48" t="s">
        <v>568</v>
      </c>
    </row>
    <row r="210" spans="1:8" ht="15.75" customHeight="1">
      <c r="A210" s="122"/>
      <c r="B210" s="158" t="s">
        <v>569</v>
      </c>
      <c r="C210" s="158" t="s">
        <v>570</v>
      </c>
      <c r="D210" s="48" t="s">
        <v>569</v>
      </c>
      <c r="F210" s="48" t="str">
        <f t="shared" ref="F210:F221" si="0">IF(NOT(ISBLANK(D210)),D210,IF(NOT(ISBLANK(E210)),"     "&amp;E210,FALSE))</f>
        <v>Afectación Económica o presupuestal</v>
      </c>
      <c r="G210" s="48" t="s">
        <v>569</v>
      </c>
      <c r="H210" s="48" t="str">
        <f ca="1">IF(NOT(ISERROR(MATCH(G210,ANCHORARRAY(B221),0))),F223&amp;"Por favor no seleccionar los criterios de impacto",G210)</f>
        <v>Afectación Económica o presupuestal</v>
      </c>
    </row>
    <row r="211" spans="1:8" ht="15.75" customHeight="1">
      <c r="A211" s="122"/>
      <c r="B211" s="158" t="s">
        <v>569</v>
      </c>
      <c r="C211" s="158" t="s">
        <v>549</v>
      </c>
      <c r="E211" s="48" t="s">
        <v>570</v>
      </c>
      <c r="F211" s="48" t="str">
        <f t="shared" si="0"/>
        <v xml:space="preserve">     Afectación menor a 10 SMLMV .</v>
      </c>
    </row>
    <row r="212" spans="1:8" ht="15.75" customHeight="1">
      <c r="A212" s="122"/>
      <c r="B212" s="158" t="s">
        <v>569</v>
      </c>
      <c r="C212" s="158" t="s">
        <v>552</v>
      </c>
      <c r="E212" s="48" t="s">
        <v>549</v>
      </c>
      <c r="F212" s="48" t="str">
        <f t="shared" si="0"/>
        <v xml:space="preserve">     Entre 10 y 50 SMLMV </v>
      </c>
    </row>
    <row r="213" spans="1:8" ht="15.75" customHeight="1">
      <c r="A213" s="122"/>
      <c r="B213" s="158" t="s">
        <v>569</v>
      </c>
      <c r="C213" s="158" t="s">
        <v>556</v>
      </c>
      <c r="E213" s="48" t="s">
        <v>552</v>
      </c>
      <c r="F213" s="48" t="str">
        <f t="shared" si="0"/>
        <v xml:space="preserve">     Entre 50 y 100 SMLMV </v>
      </c>
    </row>
    <row r="214" spans="1:8" ht="15.75" customHeight="1">
      <c r="A214" s="122"/>
      <c r="B214" s="158" t="s">
        <v>569</v>
      </c>
      <c r="C214" s="158" t="s">
        <v>560</v>
      </c>
      <c r="E214" s="48" t="s">
        <v>556</v>
      </c>
      <c r="F214" s="48" t="str">
        <f t="shared" si="0"/>
        <v xml:space="preserve">     Entre 100 y 500 SMLMV </v>
      </c>
    </row>
    <row r="215" spans="1:8" ht="15.75" customHeight="1">
      <c r="A215" s="122"/>
      <c r="B215" s="158" t="s">
        <v>542</v>
      </c>
      <c r="C215" s="158" t="s">
        <v>571</v>
      </c>
      <c r="E215" s="48" t="s">
        <v>560</v>
      </c>
      <c r="F215" s="48" t="str">
        <f t="shared" si="0"/>
        <v xml:space="preserve">     Mayor a 500 SMLMV </v>
      </c>
    </row>
    <row r="216" spans="1:8" ht="15.75" customHeight="1">
      <c r="A216" s="122"/>
      <c r="B216" s="158" t="s">
        <v>542</v>
      </c>
      <c r="C216" s="158" t="s">
        <v>572</v>
      </c>
      <c r="D216" s="48" t="s">
        <v>542</v>
      </c>
      <c r="F216" s="48" t="str">
        <f t="shared" si="0"/>
        <v>Pérdida Reputacional</v>
      </c>
    </row>
    <row r="217" spans="1:8" ht="15.75" customHeight="1">
      <c r="A217" s="122"/>
      <c r="B217" s="158" t="s">
        <v>542</v>
      </c>
      <c r="C217" s="158" t="s">
        <v>573</v>
      </c>
      <c r="E217" s="48" t="s">
        <v>571</v>
      </c>
      <c r="F217" s="48" t="str">
        <f t="shared" si="0"/>
        <v xml:space="preserve">     El riesgo afecta la imagen de alguna área de la organización</v>
      </c>
    </row>
    <row r="218" spans="1:8" ht="15.75" customHeight="1">
      <c r="A218" s="122"/>
      <c r="B218" s="158" t="s">
        <v>542</v>
      </c>
      <c r="C218" s="158" t="s">
        <v>574</v>
      </c>
      <c r="E218" s="48" t="s">
        <v>572</v>
      </c>
      <c r="F218" s="48" t="str">
        <f t="shared" si="0"/>
        <v xml:space="preserve">     El riesgo afecta la imagen de la entidad internamente, de conocimiento general, nivel interno, de junta dircetiva y accionistas y/o de provedores</v>
      </c>
    </row>
    <row r="219" spans="1:8" ht="15.75" customHeight="1">
      <c r="A219" s="122"/>
      <c r="B219" s="158" t="s">
        <v>542</v>
      </c>
      <c r="C219" s="158" t="s">
        <v>575</v>
      </c>
      <c r="E219" s="48" t="s">
        <v>573</v>
      </c>
      <c r="F219" s="48" t="str">
        <f t="shared" si="0"/>
        <v xml:space="preserve">     El riesgo afecta la imagen de la entidad con algunos usuarios de relevancia frente al logro de los objetivos</v>
      </c>
    </row>
    <row r="220" spans="1:8" ht="15.75" customHeight="1">
      <c r="A220" s="122"/>
      <c r="B220" s="159"/>
      <c r="C220" s="159"/>
      <c r="E220" s="48" t="s">
        <v>574</v>
      </c>
      <c r="F220" s="48" t="str">
        <f t="shared" si="0"/>
        <v xml:space="preserve">     El riesgo afecta la imagen de de la entidad con efecto publicitario sostenido a nivel de sector administrativo, nivel departamental o municipal</v>
      </c>
    </row>
    <row r="221" spans="1:8" ht="15.75" customHeight="1">
      <c r="A221" s="122"/>
      <c r="B221" s="159" t="str">
        <f ca="1">IFERROR(__xludf.DUMMYFUNCTION("ARRAY_CONSTRAIN(ARRAYFORMULA(UNIQUE('Anexo 3 Tabla Impacto'!$B$209:$B$219)), 3, 1)"),"Criterios")</f>
        <v>Criterios</v>
      </c>
      <c r="C221" s="159"/>
      <c r="E221" s="48" t="s">
        <v>575</v>
      </c>
      <c r="F221" s="48" t="str">
        <f t="shared" si="0"/>
        <v xml:space="preserve">     El riesgo afecta la imagen de la entidad a nivel nacional, con efecto publicitarios sostenible a nivel país</v>
      </c>
    </row>
    <row r="222" spans="1:8" ht="15.75" customHeight="1">
      <c r="A222" s="122"/>
      <c r="B222" s="159" t="str">
        <f ca="1">IFERROR(__xludf.DUMMYFUNCTION("""COMPUTED_VALUE"""),"Afectación Económica o presupuestal")</f>
        <v>Afectación Económica o presupuestal</v>
      </c>
      <c r="C222" s="159"/>
    </row>
    <row r="223" spans="1:8" ht="15.75" customHeight="1">
      <c r="B223" s="159" t="str">
        <f ca="1">IFERROR(__xludf.DUMMYFUNCTION("""COMPUTED_VALUE"""),"Pérdida Reputacional")</f>
        <v>Pérdida Reputacional</v>
      </c>
      <c r="C223" s="159"/>
      <c r="F223" s="160" t="s">
        <v>576</v>
      </c>
    </row>
    <row r="224" spans="1:8" ht="15.75" customHeight="1">
      <c r="B224" s="48"/>
      <c r="C224" s="48"/>
      <c r="F224" s="160" t="s">
        <v>577</v>
      </c>
    </row>
    <row r="225" spans="2:4" ht="15.75" customHeight="1">
      <c r="B225" s="48"/>
      <c r="C225" s="48"/>
    </row>
    <row r="226" spans="2:4" ht="15.75" customHeight="1">
      <c r="B226" s="48"/>
      <c r="C226" s="48"/>
    </row>
    <row r="227" spans="2:4" ht="15.75" customHeight="1">
      <c r="B227" s="48"/>
      <c r="C227" s="48"/>
      <c r="D227" s="48"/>
    </row>
    <row r="228" spans="2:4" ht="15.75" customHeight="1">
      <c r="B228" s="48"/>
      <c r="C228" s="48"/>
      <c r="D228" s="48"/>
    </row>
    <row r="229" spans="2:4" ht="15.75" customHeight="1">
      <c r="B229" s="48"/>
      <c r="C229" s="48"/>
      <c r="D229" s="48"/>
    </row>
    <row r="230" spans="2:4" ht="15.75" customHeight="1">
      <c r="B230" s="48"/>
      <c r="C230" s="48"/>
      <c r="D230" s="48"/>
    </row>
    <row r="231" spans="2:4" ht="15.75" customHeight="1">
      <c r="B231" s="48"/>
      <c r="C231" s="48"/>
      <c r="D231" s="48"/>
    </row>
    <row r="232" spans="2:4" ht="15.75" customHeight="1">
      <c r="B232" s="48"/>
      <c r="C232" s="48"/>
      <c r="D232" s="48"/>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row>
    <row r="2" spans="1:61" ht="18" customHeight="1">
      <c r="A2" s="122"/>
      <c r="B2" s="336" t="s">
        <v>578</v>
      </c>
      <c r="C2" s="224"/>
      <c r="D2" s="224"/>
      <c r="E2" s="224"/>
      <c r="F2" s="224"/>
      <c r="G2" s="224"/>
      <c r="H2" s="224"/>
      <c r="I2" s="224"/>
      <c r="J2" s="326" t="s">
        <v>17</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ht="18.75" customHeight="1">
      <c r="A3" s="122"/>
      <c r="B3" s="224"/>
      <c r="C3" s="224"/>
      <c r="D3" s="224"/>
      <c r="E3" s="224"/>
      <c r="F3" s="224"/>
      <c r="G3" s="224"/>
      <c r="H3" s="224"/>
      <c r="I3" s="224"/>
      <c r="J3" s="293"/>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122"/>
      <c r="AO3" s="122"/>
      <c r="AP3" s="122"/>
      <c r="AQ3" s="122"/>
      <c r="AR3" s="122"/>
      <c r="AS3" s="122"/>
      <c r="AT3" s="122"/>
      <c r="AU3" s="122"/>
      <c r="AV3" s="122"/>
      <c r="AW3" s="122"/>
      <c r="AX3" s="122"/>
      <c r="AY3" s="122"/>
      <c r="AZ3" s="122"/>
      <c r="BA3" s="122"/>
      <c r="BB3" s="122"/>
      <c r="BC3" s="122"/>
      <c r="BD3" s="122"/>
      <c r="BE3" s="122"/>
      <c r="BF3" s="122"/>
      <c r="BG3" s="122"/>
      <c r="BH3" s="122"/>
      <c r="BI3" s="122"/>
    </row>
    <row r="4" spans="1:61" ht="15" customHeight="1">
      <c r="A4" s="122"/>
      <c r="B4" s="224"/>
      <c r="C4" s="224"/>
      <c r="D4" s="224"/>
      <c r="E4" s="224"/>
      <c r="F4" s="224"/>
      <c r="G4" s="224"/>
      <c r="H4" s="224"/>
      <c r="I4" s="224"/>
      <c r="J4" s="293"/>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122"/>
      <c r="AO4" s="122"/>
      <c r="AP4" s="122"/>
      <c r="AQ4" s="122"/>
      <c r="AR4" s="122"/>
      <c r="AS4" s="122"/>
      <c r="AT4" s="122"/>
      <c r="AU4" s="122"/>
      <c r="AV4" s="122"/>
      <c r="AW4" s="122"/>
      <c r="AX4" s="122"/>
      <c r="AY4" s="122"/>
      <c r="AZ4" s="122"/>
      <c r="BA4" s="122"/>
      <c r="BB4" s="122"/>
      <c r="BC4" s="122"/>
      <c r="BD4" s="122"/>
      <c r="BE4" s="122"/>
      <c r="BF4" s="122"/>
      <c r="BG4" s="122"/>
      <c r="BH4" s="122"/>
      <c r="BI4" s="122"/>
    </row>
    <row r="5" spans="1:6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row>
    <row r="6" spans="1:61" ht="15" customHeight="1">
      <c r="A6" s="122"/>
      <c r="B6" s="327" t="s">
        <v>189</v>
      </c>
      <c r="C6" s="295"/>
      <c r="D6" s="292"/>
      <c r="E6" s="335" t="s">
        <v>500</v>
      </c>
      <c r="F6" s="222"/>
      <c r="G6" s="222"/>
      <c r="H6" s="222"/>
      <c r="I6" s="303"/>
      <c r="J6" s="161" t="e">
        <f>IF(AND('Mapa de Riesgos de Corrupción'!#REF!="Muy Alta",'Mapa de Riesgos de Corrupción'!#REF!="Leve"),CONCATENATE("R1C",'Mapa de Riesgos de Corrupción'!#REF!),"")</f>
        <v>#REF!</v>
      </c>
      <c r="K6" s="162" t="e">
        <f>IF(AND('Mapa de Riesgos de Corrupción'!#REF!="Muy Alta",'Mapa de Riesgos de Corrupción'!#REF!="Leve"),CONCATENATE("R1C",'Mapa de Riesgos de Corrupción'!#REF!),"")</f>
        <v>#REF!</v>
      </c>
      <c r="L6" s="162" t="e">
        <f>IF(AND('Mapa de Riesgos de Corrupción'!#REF!="Muy Alta",'Mapa de Riesgos de Corrupción'!#REF!="Leve"),CONCATENATE("R1C",'Mapa de Riesgos de Corrupción'!#REF!),"")</f>
        <v>#REF!</v>
      </c>
      <c r="M6" s="162" t="e">
        <f>IF(AND('Mapa de Riesgos de Corrupción'!#REF!="Muy Alta",'Mapa de Riesgos de Corrupción'!#REF!="Leve"),CONCATENATE("R1C",'Mapa de Riesgos de Corrupción'!#REF!),"")</f>
        <v>#REF!</v>
      </c>
      <c r="N6" s="162" t="str">
        <f ca="1">IF(AND('Mapa de Riesgos de Corrupción'!$AC$8="Muy Alta",'Mapa de Riesgos de Corrupción'!$AE$8="Leve"),CONCATENATE("R1C",'Mapa de Riesgos de Corrupción'!$R$8),"")</f>
        <v/>
      </c>
      <c r="O6" s="163" t="str">
        <f ca="1">IF(AND('Mapa de Riesgos de Corrupción'!$AC$9="Muy Alta",'Mapa de Riesgos de Corrupción'!$AE$9="Leve"),CONCATENATE("R1C",'Mapa de Riesgos de Corrupción'!$R$9),"")</f>
        <v/>
      </c>
      <c r="P6" s="161" t="e">
        <f>IF(AND('Mapa de Riesgos de Corrupción'!#REF!="Muy Alta",'Mapa de Riesgos de Corrupción'!#REF!="Menor"),CONCATENATE("R1C",'Mapa de Riesgos de Corrupción'!#REF!),"")</f>
        <v>#REF!</v>
      </c>
      <c r="Q6" s="162" t="e">
        <f>IF(AND('Mapa de Riesgos de Corrupción'!#REF!="Muy Alta",'Mapa de Riesgos de Corrupción'!#REF!="Menor"),CONCATENATE("R1C",'Mapa de Riesgos de Corrupción'!#REF!),"")</f>
        <v>#REF!</v>
      </c>
      <c r="R6" s="162" t="e">
        <f>IF(AND('Mapa de Riesgos de Corrupción'!#REF!="Muy Alta",'Mapa de Riesgos de Corrupción'!#REF!="Menor"),CONCATENATE("R1C",'Mapa de Riesgos de Corrupción'!#REF!),"")</f>
        <v>#REF!</v>
      </c>
      <c r="S6" s="162" t="e">
        <f>IF(AND('Mapa de Riesgos de Corrupción'!#REF!="Muy Alta",'Mapa de Riesgos de Corrupción'!#REF!="Menor"),CONCATENATE("R1C",'Mapa de Riesgos de Corrupción'!#REF!),"")</f>
        <v>#REF!</v>
      </c>
      <c r="T6" s="162" t="str">
        <f ca="1">IF(AND('Mapa de Riesgos de Corrupción'!$AC$8="Muy Alta",'Mapa de Riesgos de Corrupción'!$AE$8="Menor"),CONCATENATE("R1C",'Mapa de Riesgos de Corrupción'!$R$8),"")</f>
        <v/>
      </c>
      <c r="U6" s="163" t="str">
        <f ca="1">IF(AND('Mapa de Riesgos de Corrupción'!$AC$9="Muy Alta",'Mapa de Riesgos de Corrupción'!$AE$9="Menor"),CONCATENATE("R1C",'Mapa de Riesgos de Corrupción'!$R$9),"")</f>
        <v/>
      </c>
      <c r="V6" s="161" t="e">
        <f>IF(AND('Mapa de Riesgos de Corrupción'!#REF!="Muy Alta",'Mapa de Riesgos de Corrupción'!#REF!="Moderado"),CONCATENATE("R1C",'Mapa de Riesgos de Corrupción'!#REF!),"")</f>
        <v>#REF!</v>
      </c>
      <c r="W6" s="162" t="e">
        <f>IF(AND('Mapa de Riesgos de Corrupción'!#REF!="Muy Alta",'Mapa de Riesgos de Corrupción'!#REF!="Moderado"),CONCATENATE("R1C",'Mapa de Riesgos de Corrupción'!#REF!),"")</f>
        <v>#REF!</v>
      </c>
      <c r="X6" s="162" t="e">
        <f>IF(AND('Mapa de Riesgos de Corrupción'!#REF!="Muy Alta",'Mapa de Riesgos de Corrupción'!#REF!="Moderado"),CONCATENATE("R1C",'Mapa de Riesgos de Corrupción'!#REF!),"")</f>
        <v>#REF!</v>
      </c>
      <c r="Y6" s="162" t="e">
        <f>IF(AND('Mapa de Riesgos de Corrupción'!#REF!="Muy Alta",'Mapa de Riesgos de Corrupción'!#REF!="Moderado"),CONCATENATE("R1C",'Mapa de Riesgos de Corrupción'!#REF!),"")</f>
        <v>#REF!</v>
      </c>
      <c r="Z6" s="162" t="str">
        <f ca="1">IF(AND('Mapa de Riesgos de Corrupción'!$AC$8="Muy Alta",'Mapa de Riesgos de Corrupción'!$AE$8="Moderado"),CONCATENATE("R1C",'Mapa de Riesgos de Corrupción'!$R$8),"")</f>
        <v/>
      </c>
      <c r="AA6" s="163" t="str">
        <f ca="1">IF(AND('Mapa de Riesgos de Corrupción'!$AC$9="Muy Alta",'Mapa de Riesgos de Corrupción'!$AE$9="Moderado"),CONCATENATE("R1C",'Mapa de Riesgos de Corrupción'!$R$9),"")</f>
        <v/>
      </c>
      <c r="AB6" s="161" t="e">
        <f>IF(AND('Mapa de Riesgos de Corrupción'!#REF!="Muy Alta",'Mapa de Riesgos de Corrupción'!#REF!="Mayor"),CONCATENATE("R1C",'Mapa de Riesgos de Corrupción'!#REF!),"")</f>
        <v>#REF!</v>
      </c>
      <c r="AC6" s="162" t="e">
        <f>IF(AND('Mapa de Riesgos de Corrupción'!#REF!="Muy Alta",'Mapa de Riesgos de Corrupción'!#REF!="Mayor"),CONCATENATE("R1C",'Mapa de Riesgos de Corrupción'!#REF!),"")</f>
        <v>#REF!</v>
      </c>
      <c r="AD6" s="162" t="e">
        <f>IF(AND('Mapa de Riesgos de Corrupción'!#REF!="Muy Alta",'Mapa de Riesgos de Corrupción'!#REF!="Mayor"),CONCATENATE("R1C",'Mapa de Riesgos de Corrupción'!#REF!),"")</f>
        <v>#REF!</v>
      </c>
      <c r="AE6" s="162" t="e">
        <f>IF(AND('Mapa de Riesgos de Corrupción'!#REF!="Muy Alta",'Mapa de Riesgos de Corrupción'!#REF!="Mayor"),CONCATENATE("R1C",'Mapa de Riesgos de Corrupción'!#REF!),"")</f>
        <v>#REF!</v>
      </c>
      <c r="AF6" s="162" t="str">
        <f ca="1">IF(AND('Mapa de Riesgos de Corrupción'!$AC$8="Muy Alta",'Mapa de Riesgos de Corrupción'!$AE$8="Mayor"),CONCATENATE("R1C",'Mapa de Riesgos de Corrupción'!$R$8),"")</f>
        <v/>
      </c>
      <c r="AG6" s="163" t="str">
        <f ca="1">IF(AND('Mapa de Riesgos de Corrupción'!$AC$9="Muy Alta",'Mapa de Riesgos de Corrupción'!$AE$9="Mayor"),CONCATENATE("R1C",'Mapa de Riesgos de Corrupción'!$R$9),"")</f>
        <v/>
      </c>
      <c r="AH6" s="164" t="e">
        <f>IF(AND('Mapa de Riesgos de Corrupción'!#REF!="Muy Alta",'Mapa de Riesgos de Corrupción'!#REF!="Catastrófico"),CONCATENATE("R1C",'Mapa de Riesgos de Corrupción'!#REF!),"")</f>
        <v>#REF!</v>
      </c>
      <c r="AI6" s="165" t="e">
        <f>IF(AND('Mapa de Riesgos de Corrupción'!#REF!="Muy Alta",'Mapa de Riesgos de Corrupción'!#REF!="Catastrófico"),CONCATENATE("R1C",'Mapa de Riesgos de Corrupción'!#REF!),"")</f>
        <v>#REF!</v>
      </c>
      <c r="AJ6" s="165" t="e">
        <f>IF(AND('Mapa de Riesgos de Corrupción'!#REF!="Muy Alta",'Mapa de Riesgos de Corrupción'!#REF!="Catastrófico"),CONCATENATE("R1C",'Mapa de Riesgos de Corrupción'!#REF!),"")</f>
        <v>#REF!</v>
      </c>
      <c r="AK6" s="165" t="e">
        <f>IF(AND('Mapa de Riesgos de Corrupción'!#REF!="Muy Alta",'Mapa de Riesgos de Corrupción'!#REF!="Catastrófico"),CONCATENATE("R1C",'Mapa de Riesgos de Corrupción'!#REF!),"")</f>
        <v>#REF!</v>
      </c>
      <c r="AL6" s="165" t="str">
        <f ca="1">IF(AND('Mapa de Riesgos de Corrupción'!$AC$8="Muy Alta",'Mapa de Riesgos de Corrupción'!$AE$8="Catastrófico"),CONCATENATE("R1C",'Mapa de Riesgos de Corrupción'!$R$8),"")</f>
        <v/>
      </c>
      <c r="AM6" s="166" t="str">
        <f ca="1">IF(AND('Mapa de Riesgos de Corrupción'!$AC$9="Muy Alta",'Mapa de Riesgos de Corrupción'!$AE$9="Catastrófico"),CONCATENATE("R1C",'Mapa de Riesgos de Corrupción'!$R$9),"")</f>
        <v/>
      </c>
      <c r="AN6" s="122"/>
      <c r="AO6" s="333" t="s">
        <v>501</v>
      </c>
      <c r="AP6" s="310"/>
      <c r="AQ6" s="310"/>
      <c r="AR6" s="310"/>
      <c r="AS6" s="310"/>
      <c r="AT6" s="311"/>
      <c r="AU6" s="122"/>
      <c r="AV6" s="122"/>
      <c r="AW6" s="122"/>
      <c r="AX6" s="122"/>
      <c r="AY6" s="122"/>
      <c r="AZ6" s="122"/>
      <c r="BA6" s="122"/>
      <c r="BB6" s="122"/>
      <c r="BC6" s="122"/>
      <c r="BD6" s="122"/>
      <c r="BE6" s="122"/>
      <c r="BF6" s="122"/>
      <c r="BG6" s="122"/>
      <c r="BH6" s="122"/>
      <c r="BI6" s="122"/>
    </row>
    <row r="7" spans="1:61" ht="15" customHeight="1">
      <c r="A7" s="122"/>
      <c r="B7" s="293"/>
      <c r="C7" s="224"/>
      <c r="D7" s="265"/>
      <c r="E7" s="223"/>
      <c r="F7" s="224"/>
      <c r="G7" s="224"/>
      <c r="H7" s="224"/>
      <c r="I7" s="265"/>
      <c r="J7" s="167" t="e">
        <f>IF(AND('Mapa de Riesgos de Corrupción'!#REF!="Muy Alta",'Mapa de Riesgos de Corrupción'!#REF!="Leve"),CONCATENATE("R2C",'Mapa de Riesgos de Corrupción'!#REF!),"")</f>
        <v>#REF!</v>
      </c>
      <c r="K7" s="168" t="e">
        <f>IF(AND('Mapa de Riesgos de Corrupción'!#REF!="Muy Alta",'Mapa de Riesgos de Corrupción'!#REF!="Leve"),CONCATENATE("R2C",'Mapa de Riesgos de Corrupción'!#REF!),"")</f>
        <v>#REF!</v>
      </c>
      <c r="L7" s="168" t="e">
        <f>IF(AND('Mapa de Riesgos de Corrupción'!#REF!="Muy Alta",'Mapa de Riesgos de Corrupción'!#REF!="Leve"),CONCATENATE("R2C",'Mapa de Riesgos de Corrupción'!#REF!),"")</f>
        <v>#REF!</v>
      </c>
      <c r="M7" s="168" t="e">
        <f>IF(AND('Mapa de Riesgos de Corrupción'!#REF!="Muy Alta",'Mapa de Riesgos de Corrupción'!#REF!="Leve"),CONCATENATE("R2C",'Mapa de Riesgos de Corrupción'!#REF!),"")</f>
        <v>#REF!</v>
      </c>
      <c r="N7" s="168" t="e">
        <f>IF(AND('Mapa de Riesgos de Corrupción'!#REF!="Muy Alta",'Mapa de Riesgos de Corrupción'!#REF!="Leve"),CONCATENATE("R2C",'Mapa de Riesgos de Corrupción'!#REF!),"")</f>
        <v>#REF!</v>
      </c>
      <c r="O7" s="169" t="str">
        <f ca="1">IF(AND('Mapa de Riesgos de Corrupción'!$AC$10="Muy Alta",'Mapa de Riesgos de Corrupción'!$AE$10="Leve"),CONCATENATE("R2C",'Mapa de Riesgos de Corrupción'!$R$10),"")</f>
        <v/>
      </c>
      <c r="P7" s="167" t="e">
        <f>IF(AND('Mapa de Riesgos de Corrupción'!#REF!="Muy Alta",'Mapa de Riesgos de Corrupción'!#REF!="Menor"),CONCATENATE("R2C",'Mapa de Riesgos de Corrupción'!#REF!),"")</f>
        <v>#REF!</v>
      </c>
      <c r="Q7" s="168" t="e">
        <f>IF(AND('Mapa de Riesgos de Corrupción'!#REF!="Muy Alta",'Mapa de Riesgos de Corrupción'!#REF!="Menor"),CONCATENATE("R2C",'Mapa de Riesgos de Corrupción'!#REF!),"")</f>
        <v>#REF!</v>
      </c>
      <c r="R7" s="168" t="e">
        <f>IF(AND('Mapa de Riesgos de Corrupción'!#REF!="Muy Alta",'Mapa de Riesgos de Corrupción'!#REF!="Menor"),CONCATENATE("R2C",'Mapa de Riesgos de Corrupción'!#REF!),"")</f>
        <v>#REF!</v>
      </c>
      <c r="S7" s="168" t="e">
        <f>IF(AND('Mapa de Riesgos de Corrupción'!#REF!="Muy Alta",'Mapa de Riesgos de Corrupción'!#REF!="Menor"),CONCATENATE("R2C",'Mapa de Riesgos de Corrupción'!#REF!),"")</f>
        <v>#REF!</v>
      </c>
      <c r="T7" s="168" t="e">
        <f>IF(AND('Mapa de Riesgos de Corrupción'!#REF!="Muy Alta",'Mapa de Riesgos de Corrupción'!#REF!="Menor"),CONCATENATE("R2C",'Mapa de Riesgos de Corrupción'!#REF!),"")</f>
        <v>#REF!</v>
      </c>
      <c r="U7" s="169" t="str">
        <f ca="1">IF(AND('Mapa de Riesgos de Corrupción'!$AC$10="Muy Alta",'Mapa de Riesgos de Corrupción'!$AE$10="Menor"),CONCATENATE("R2C",'Mapa de Riesgos de Corrupción'!$R$10),"")</f>
        <v/>
      </c>
      <c r="V7" s="167" t="e">
        <f>IF(AND('Mapa de Riesgos de Corrupción'!#REF!="Muy Alta",'Mapa de Riesgos de Corrupción'!#REF!="Moderado"),CONCATENATE("R2C",'Mapa de Riesgos de Corrupción'!#REF!),"")</f>
        <v>#REF!</v>
      </c>
      <c r="W7" s="168" t="e">
        <f>IF(AND('Mapa de Riesgos de Corrupción'!#REF!="Muy Alta",'Mapa de Riesgos de Corrupción'!#REF!="Moderado"),CONCATENATE("R2C",'Mapa de Riesgos de Corrupción'!#REF!),"")</f>
        <v>#REF!</v>
      </c>
      <c r="X7" s="168" t="e">
        <f>IF(AND('Mapa de Riesgos de Corrupción'!#REF!="Muy Alta",'Mapa de Riesgos de Corrupción'!#REF!="Moderado"),CONCATENATE("R2C",'Mapa de Riesgos de Corrupción'!#REF!),"")</f>
        <v>#REF!</v>
      </c>
      <c r="Y7" s="168" t="e">
        <f>IF(AND('Mapa de Riesgos de Corrupción'!#REF!="Muy Alta",'Mapa de Riesgos de Corrupción'!#REF!="Moderado"),CONCATENATE("R2C",'Mapa de Riesgos de Corrupción'!#REF!),"")</f>
        <v>#REF!</v>
      </c>
      <c r="Z7" s="168" t="e">
        <f>IF(AND('Mapa de Riesgos de Corrupción'!#REF!="Muy Alta",'Mapa de Riesgos de Corrupción'!#REF!="Moderado"),CONCATENATE("R2C",'Mapa de Riesgos de Corrupción'!#REF!),"")</f>
        <v>#REF!</v>
      </c>
      <c r="AA7" s="169" t="str">
        <f ca="1">IF(AND('Mapa de Riesgos de Corrupción'!$AC$10="Muy Alta",'Mapa de Riesgos de Corrupción'!$AE$10="Moderado"),CONCATENATE("R2C",'Mapa de Riesgos de Corrupción'!$R$10),"")</f>
        <v/>
      </c>
      <c r="AB7" s="167" t="e">
        <f>IF(AND('Mapa de Riesgos de Corrupción'!#REF!="Muy Alta",'Mapa de Riesgos de Corrupción'!#REF!="Mayor"),CONCATENATE("R2C",'Mapa de Riesgos de Corrupción'!#REF!),"")</f>
        <v>#REF!</v>
      </c>
      <c r="AC7" s="168" t="e">
        <f>IF(AND('Mapa de Riesgos de Corrupción'!#REF!="Muy Alta",'Mapa de Riesgos de Corrupción'!#REF!="Mayor"),CONCATENATE("R2C",'Mapa de Riesgos de Corrupción'!#REF!),"")</f>
        <v>#REF!</v>
      </c>
      <c r="AD7" s="168" t="e">
        <f>IF(AND('Mapa de Riesgos de Corrupción'!#REF!="Muy Alta",'Mapa de Riesgos de Corrupción'!#REF!="Mayor"),CONCATENATE("R2C",'Mapa de Riesgos de Corrupción'!#REF!),"")</f>
        <v>#REF!</v>
      </c>
      <c r="AE7" s="168" t="e">
        <f>IF(AND('Mapa de Riesgos de Corrupción'!#REF!="Muy Alta",'Mapa de Riesgos de Corrupción'!#REF!="Mayor"),CONCATENATE("R2C",'Mapa de Riesgos de Corrupción'!#REF!),"")</f>
        <v>#REF!</v>
      </c>
      <c r="AF7" s="168" t="e">
        <f>IF(AND('Mapa de Riesgos de Corrupción'!#REF!="Muy Alta",'Mapa de Riesgos de Corrupción'!#REF!="Mayor"),CONCATENATE("R2C",'Mapa de Riesgos de Corrupción'!#REF!),"")</f>
        <v>#REF!</v>
      </c>
      <c r="AG7" s="169" t="str">
        <f ca="1">IF(AND('Mapa de Riesgos de Corrupción'!$AC$10="Muy Alta",'Mapa de Riesgos de Corrupción'!$AE$10="Mayor"),CONCATENATE("R2C",'Mapa de Riesgos de Corrupción'!$R$10),"")</f>
        <v/>
      </c>
      <c r="AH7" s="170" t="e">
        <f>IF(AND('Mapa de Riesgos de Corrupción'!#REF!="Muy Alta",'Mapa de Riesgos de Corrupción'!#REF!="Catastrófico"),CONCATENATE("R2C",'Mapa de Riesgos de Corrupción'!#REF!),"")</f>
        <v>#REF!</v>
      </c>
      <c r="AI7" s="171" t="e">
        <f>IF(AND('Mapa de Riesgos de Corrupción'!#REF!="Muy Alta",'Mapa de Riesgos de Corrupción'!#REF!="Catastrófico"),CONCATENATE("R2C",'Mapa de Riesgos de Corrupción'!#REF!),"")</f>
        <v>#REF!</v>
      </c>
      <c r="AJ7" s="171" t="e">
        <f>IF(AND('Mapa de Riesgos de Corrupción'!#REF!="Muy Alta",'Mapa de Riesgos de Corrupción'!#REF!="Catastrófico"),CONCATENATE("R2C",'Mapa de Riesgos de Corrupción'!#REF!),"")</f>
        <v>#REF!</v>
      </c>
      <c r="AK7" s="171" t="e">
        <f>IF(AND('Mapa de Riesgos de Corrupción'!#REF!="Muy Alta",'Mapa de Riesgos de Corrupción'!#REF!="Catastrófico"),CONCATENATE("R2C",'Mapa de Riesgos de Corrupción'!#REF!),"")</f>
        <v>#REF!</v>
      </c>
      <c r="AL7" s="171" t="e">
        <f>IF(AND('Mapa de Riesgos de Corrupción'!#REF!="Muy Alta",'Mapa de Riesgos de Corrupción'!#REF!="Catastrófico"),CONCATENATE("R2C",'Mapa de Riesgos de Corrupción'!#REF!),"")</f>
        <v>#REF!</v>
      </c>
      <c r="AM7" s="172" t="str">
        <f ca="1">IF(AND('Mapa de Riesgos de Corrupción'!$AC$10="Muy Alta",'Mapa de Riesgos de Corrupción'!$AE$10="Catastrófico"),CONCATENATE("R2C",'Mapa de Riesgos de Corrupción'!$R$10),"")</f>
        <v/>
      </c>
      <c r="AN7" s="122"/>
      <c r="AO7" s="312"/>
      <c r="AP7" s="224"/>
      <c r="AQ7" s="224"/>
      <c r="AR7" s="224"/>
      <c r="AS7" s="224"/>
      <c r="AT7" s="313"/>
      <c r="AU7" s="122"/>
      <c r="AV7" s="122"/>
      <c r="AW7" s="122"/>
      <c r="AX7" s="122"/>
      <c r="AY7" s="122"/>
      <c r="AZ7" s="122"/>
      <c r="BA7" s="122"/>
      <c r="BB7" s="122"/>
      <c r="BC7" s="122"/>
      <c r="BD7" s="122"/>
      <c r="BE7" s="122"/>
      <c r="BF7" s="122"/>
      <c r="BG7" s="122"/>
      <c r="BH7" s="122"/>
      <c r="BI7" s="122"/>
    </row>
    <row r="8" spans="1:61" ht="15" customHeight="1">
      <c r="A8" s="122"/>
      <c r="B8" s="293"/>
      <c r="C8" s="224"/>
      <c r="D8" s="265"/>
      <c r="E8" s="223"/>
      <c r="F8" s="224"/>
      <c r="G8" s="224"/>
      <c r="H8" s="224"/>
      <c r="I8" s="265"/>
      <c r="J8" s="167" t="e">
        <f>IF(AND('Mapa de Riesgos de Corrupción'!#REF!="Muy Alta",'Mapa de Riesgos de Corrupción'!#REF!="Leve"),CONCATENATE("R3C",'Mapa de Riesgos de Corrupción'!#REF!),"")</f>
        <v>#REF!</v>
      </c>
      <c r="K8" s="168" t="str">
        <f ca="1">IF(AND('Mapa de Riesgos de Corrupción'!$AC$11="Muy Alta",'Mapa de Riesgos de Corrupción'!$AE$11="Leve"),CONCATENATE("R3C",'Mapa de Riesgos de Corrupción'!$R$11),"")</f>
        <v/>
      </c>
      <c r="L8" s="168" t="e">
        <f>IF(AND('Mapa de Riesgos de Corrupción'!#REF!="Muy Alta",'Mapa de Riesgos de Corrupción'!#REF!="Leve"),CONCATENATE("R3C",'Mapa de Riesgos de Corrupción'!#REF!),"")</f>
        <v>#REF!</v>
      </c>
      <c r="M8" s="168" t="str">
        <f ca="1">IF(AND('Mapa de Riesgos de Corrupción'!$AC$12="Muy Alta",'Mapa de Riesgos de Corrupción'!$AE$12="Leve"),CONCATENATE("R3C",'Mapa de Riesgos de Corrupción'!$R$12),"")</f>
        <v/>
      </c>
      <c r="N8" s="168" t="e">
        <f>IF(AND('Mapa de Riesgos de Corrupción'!#REF!="Muy Alta",'Mapa de Riesgos de Corrupción'!#REF!="Leve"),CONCATENATE("R3C",'Mapa de Riesgos de Corrupción'!#REF!),"")</f>
        <v>#REF!</v>
      </c>
      <c r="O8" s="169" t="e">
        <f>IF(AND('Mapa de Riesgos de Corrupción'!#REF!="Muy Alta",'Mapa de Riesgos de Corrupción'!#REF!="Leve"),CONCATENATE("R3C",'Mapa de Riesgos de Corrupción'!#REF!),"")</f>
        <v>#REF!</v>
      </c>
      <c r="P8" s="167" t="e">
        <f>IF(AND('Mapa de Riesgos de Corrupción'!#REF!="Muy Alta",'Mapa de Riesgos de Corrupción'!#REF!="Menor"),CONCATENATE("R3C",'Mapa de Riesgos de Corrupción'!#REF!),"")</f>
        <v>#REF!</v>
      </c>
      <c r="Q8" s="168" t="str">
        <f ca="1">IF(AND('Mapa de Riesgos de Corrupción'!$AC$11="Muy Alta",'Mapa de Riesgos de Corrupción'!$AE$11="Menor"),CONCATENATE("R3C",'Mapa de Riesgos de Corrupción'!$R$11),"")</f>
        <v/>
      </c>
      <c r="R8" s="168" t="e">
        <f>IF(AND('Mapa de Riesgos de Corrupción'!#REF!="Muy Alta",'Mapa de Riesgos de Corrupción'!#REF!="Menor"),CONCATENATE("R3C",'Mapa de Riesgos de Corrupción'!#REF!),"")</f>
        <v>#REF!</v>
      </c>
      <c r="S8" s="168" t="str">
        <f ca="1">IF(AND('Mapa de Riesgos de Corrupción'!$AC$12="Muy Alta",'Mapa de Riesgos de Corrupción'!$AE$12="Menor"),CONCATENATE("R3C",'Mapa de Riesgos de Corrupción'!$R$12),"")</f>
        <v/>
      </c>
      <c r="T8" s="168" t="e">
        <f>IF(AND('Mapa de Riesgos de Corrupción'!#REF!="Muy Alta",'Mapa de Riesgos de Corrupción'!#REF!="Menor"),CONCATENATE("R3C",'Mapa de Riesgos de Corrupción'!#REF!),"")</f>
        <v>#REF!</v>
      </c>
      <c r="U8" s="169" t="e">
        <f>IF(AND('Mapa de Riesgos de Corrupción'!#REF!="Muy Alta",'Mapa de Riesgos de Corrupción'!#REF!="Menor"),CONCATENATE("R3C",'Mapa de Riesgos de Corrupción'!#REF!),"")</f>
        <v>#REF!</v>
      </c>
      <c r="V8" s="167" t="e">
        <f>IF(AND('Mapa de Riesgos de Corrupción'!#REF!="Muy Alta",'Mapa de Riesgos de Corrupción'!#REF!="Moderado"),CONCATENATE("R3C",'Mapa de Riesgos de Corrupción'!#REF!),"")</f>
        <v>#REF!</v>
      </c>
      <c r="W8" s="168" t="str">
        <f ca="1">IF(AND('Mapa de Riesgos de Corrupción'!$AC$11="Muy Alta",'Mapa de Riesgos de Corrupción'!$AE$11="Moderado"),CONCATENATE("R3C",'Mapa de Riesgos de Corrupción'!$R$11),"")</f>
        <v/>
      </c>
      <c r="X8" s="168" t="e">
        <f>IF(AND('Mapa de Riesgos de Corrupción'!#REF!="Muy Alta",'Mapa de Riesgos de Corrupción'!#REF!="Moderado"),CONCATENATE("R3C",'Mapa de Riesgos de Corrupción'!#REF!),"")</f>
        <v>#REF!</v>
      </c>
      <c r="Y8" s="168" t="str">
        <f ca="1">IF(AND('Mapa de Riesgos de Corrupción'!$AC$12="Muy Alta",'Mapa de Riesgos de Corrupción'!$AE$12="Moderado"),CONCATENATE("R3C",'Mapa de Riesgos de Corrupción'!$R$12),"")</f>
        <v/>
      </c>
      <c r="Z8" s="168" t="e">
        <f>IF(AND('Mapa de Riesgos de Corrupción'!#REF!="Muy Alta",'Mapa de Riesgos de Corrupción'!#REF!="Moderado"),CONCATENATE("R3C",'Mapa de Riesgos de Corrupción'!#REF!),"")</f>
        <v>#REF!</v>
      </c>
      <c r="AA8" s="169" t="e">
        <f>IF(AND('Mapa de Riesgos de Corrupción'!#REF!="Muy Alta",'Mapa de Riesgos de Corrupción'!#REF!="Moderado"),CONCATENATE("R3C",'Mapa de Riesgos de Corrupción'!#REF!),"")</f>
        <v>#REF!</v>
      </c>
      <c r="AB8" s="167" t="e">
        <f>IF(AND('Mapa de Riesgos de Corrupción'!#REF!="Muy Alta",'Mapa de Riesgos de Corrupción'!#REF!="Mayor"),CONCATENATE("R3C",'Mapa de Riesgos de Corrupción'!#REF!),"")</f>
        <v>#REF!</v>
      </c>
      <c r="AC8" s="168" t="str">
        <f ca="1">IF(AND('Mapa de Riesgos de Corrupción'!$AC$11="Muy Alta",'Mapa de Riesgos de Corrupción'!$AE$11="Mayor"),CONCATENATE("R3C",'Mapa de Riesgos de Corrupción'!$R$11),"")</f>
        <v/>
      </c>
      <c r="AD8" s="168" t="e">
        <f>IF(AND('Mapa de Riesgos de Corrupción'!#REF!="Muy Alta",'Mapa de Riesgos de Corrupción'!#REF!="Mayor"),CONCATENATE("R3C",'Mapa de Riesgos de Corrupción'!#REF!),"")</f>
        <v>#REF!</v>
      </c>
      <c r="AE8" s="168" t="str">
        <f ca="1">IF(AND('Mapa de Riesgos de Corrupción'!$AC$12="Muy Alta",'Mapa de Riesgos de Corrupción'!$AE$12="Mayor"),CONCATENATE("R3C",'Mapa de Riesgos de Corrupción'!$R$12),"")</f>
        <v/>
      </c>
      <c r="AF8" s="168" t="e">
        <f>IF(AND('Mapa de Riesgos de Corrupción'!#REF!="Muy Alta",'Mapa de Riesgos de Corrupción'!#REF!="Mayor"),CONCATENATE("R3C",'Mapa de Riesgos de Corrupción'!#REF!),"")</f>
        <v>#REF!</v>
      </c>
      <c r="AG8" s="169" t="e">
        <f>IF(AND('Mapa de Riesgos de Corrupción'!#REF!="Muy Alta",'Mapa de Riesgos de Corrupción'!#REF!="Mayor"),CONCATENATE("R3C",'Mapa de Riesgos de Corrupción'!#REF!),"")</f>
        <v>#REF!</v>
      </c>
      <c r="AH8" s="170" t="e">
        <f>IF(AND('Mapa de Riesgos de Corrupción'!#REF!="Muy Alta",'Mapa de Riesgos de Corrupción'!#REF!="Catastrófico"),CONCATENATE("R3C",'Mapa de Riesgos de Corrupción'!#REF!),"")</f>
        <v>#REF!</v>
      </c>
      <c r="AI8" s="171" t="str">
        <f ca="1">IF(AND('Mapa de Riesgos de Corrupción'!$AC$11="Muy Alta",'Mapa de Riesgos de Corrupción'!$AE$11="Catastrófico"),CONCATENATE("R3C",'Mapa de Riesgos de Corrupción'!$R$11),"")</f>
        <v/>
      </c>
      <c r="AJ8" s="171" t="e">
        <f>IF(AND('Mapa de Riesgos de Corrupción'!#REF!="Muy Alta",'Mapa de Riesgos de Corrupción'!#REF!="Catastrófico"),CONCATENATE("R3C",'Mapa de Riesgos de Corrupción'!#REF!),"")</f>
        <v>#REF!</v>
      </c>
      <c r="AK8" s="171" t="str">
        <f ca="1">IF(AND('Mapa de Riesgos de Corrupción'!$AC$12="Muy Alta",'Mapa de Riesgos de Corrupción'!$AE$12="Catastrófico"),CONCATENATE("R3C",'Mapa de Riesgos de Corrupción'!$R$12),"")</f>
        <v/>
      </c>
      <c r="AL8" s="171" t="e">
        <f>IF(AND('Mapa de Riesgos de Corrupción'!#REF!="Muy Alta",'Mapa de Riesgos de Corrupción'!#REF!="Catastrófico"),CONCATENATE("R3C",'Mapa de Riesgos de Corrupción'!#REF!),"")</f>
        <v>#REF!</v>
      </c>
      <c r="AM8" s="172" t="e">
        <f>IF(AND('Mapa de Riesgos de Corrupción'!#REF!="Muy Alta",'Mapa de Riesgos de Corrupción'!#REF!="Catastrófico"),CONCATENATE("R3C",'Mapa de Riesgos de Corrupción'!#REF!),"")</f>
        <v>#REF!</v>
      </c>
      <c r="AN8" s="122"/>
      <c r="AO8" s="312"/>
      <c r="AP8" s="224"/>
      <c r="AQ8" s="224"/>
      <c r="AR8" s="224"/>
      <c r="AS8" s="224"/>
      <c r="AT8" s="313"/>
      <c r="AU8" s="122"/>
      <c r="AV8" s="122"/>
      <c r="AW8" s="122"/>
      <c r="AX8" s="122"/>
      <c r="AY8" s="122"/>
      <c r="AZ8" s="122"/>
      <c r="BA8" s="122"/>
      <c r="BB8" s="122"/>
      <c r="BC8" s="122"/>
      <c r="BD8" s="122"/>
      <c r="BE8" s="122"/>
      <c r="BF8" s="122"/>
      <c r="BG8" s="122"/>
      <c r="BH8" s="122"/>
      <c r="BI8" s="122"/>
    </row>
    <row r="9" spans="1:61" ht="15" customHeight="1">
      <c r="A9" s="122"/>
      <c r="B9" s="293"/>
      <c r="C9" s="224"/>
      <c r="D9" s="265"/>
      <c r="E9" s="223"/>
      <c r="F9" s="224"/>
      <c r="G9" s="224"/>
      <c r="H9" s="224"/>
      <c r="I9" s="265"/>
      <c r="J9" s="167" t="str">
        <f ca="1">IF(AND('Mapa de Riesgos de Corrupción'!$AC$13="Muy Alta",'Mapa de Riesgos de Corrupción'!$AE$13="Leve"),CONCATENATE("R4C",'Mapa de Riesgos de Corrupción'!$R$13),"")</f>
        <v/>
      </c>
      <c r="K9" s="168" t="e">
        <f>IF(AND('Mapa de Riesgos de Corrupción'!#REF!="Muy Alta",'Mapa de Riesgos de Corrupción'!#REF!="Leve"),CONCATENATE("R4C",'Mapa de Riesgos de Corrupción'!#REF!),"")</f>
        <v>#REF!</v>
      </c>
      <c r="L9" s="168" t="str">
        <f ca="1">IF(AND('Mapa de Riesgos de Corrupción'!$AC$14="Muy Alta",'Mapa de Riesgos de Corrupción'!$AE$14="Leve"),CONCATENATE("R4C",'Mapa de Riesgos de Corrupción'!$R$14),"")</f>
        <v/>
      </c>
      <c r="M9" s="168" t="e">
        <f>IF(AND('Mapa de Riesgos de Corrupción'!#REF!="Muy Alta",'Mapa de Riesgos de Corrupción'!#REF!="Leve"),CONCATENATE("R4C",'Mapa de Riesgos de Corrupción'!#REF!),"")</f>
        <v>#REF!</v>
      </c>
      <c r="N9" s="168" t="e">
        <f>IF(AND('Mapa de Riesgos de Corrupción'!#REF!="Muy Alta",'Mapa de Riesgos de Corrupción'!#REF!="Leve"),CONCATENATE("R4C",'Mapa de Riesgos de Corrupción'!#REF!),"")</f>
        <v>#REF!</v>
      </c>
      <c r="O9" s="169" t="str">
        <f ca="1">IF(AND('Mapa de Riesgos de Corrupción'!$AC$15="Muy Alta",'Mapa de Riesgos de Corrupción'!$AE$15="Leve"),CONCATENATE("R4C",'Mapa de Riesgos de Corrupción'!$R$15),"")</f>
        <v/>
      </c>
      <c r="P9" s="167" t="str">
        <f ca="1">IF(AND('Mapa de Riesgos de Corrupción'!$AC$13="Muy Alta",'Mapa de Riesgos de Corrupción'!$AE$13="Menor"),CONCATENATE("R4C",'Mapa de Riesgos de Corrupción'!$R$13),"")</f>
        <v/>
      </c>
      <c r="Q9" s="168" t="e">
        <f>IF(AND('Mapa de Riesgos de Corrupción'!#REF!="Muy Alta",'Mapa de Riesgos de Corrupción'!#REF!="Menor"),CONCATENATE("R4C",'Mapa de Riesgos de Corrupción'!#REF!),"")</f>
        <v>#REF!</v>
      </c>
      <c r="R9" s="168" t="str">
        <f ca="1">IF(AND('Mapa de Riesgos de Corrupción'!$AC$14="Muy Alta",'Mapa de Riesgos de Corrupción'!$AE$14="Menor"),CONCATENATE("R4C",'Mapa de Riesgos de Corrupción'!$R$14),"")</f>
        <v/>
      </c>
      <c r="S9" s="168" t="e">
        <f>IF(AND('Mapa de Riesgos de Corrupción'!#REF!="Muy Alta",'Mapa de Riesgos de Corrupción'!#REF!="Menor"),CONCATENATE("R4C",'Mapa de Riesgos de Corrupción'!#REF!),"")</f>
        <v>#REF!</v>
      </c>
      <c r="T9" s="168" t="e">
        <f>IF(AND('Mapa de Riesgos de Corrupción'!#REF!="Muy Alta",'Mapa de Riesgos de Corrupción'!#REF!="Menor"),CONCATENATE("R4C",'Mapa de Riesgos de Corrupción'!#REF!),"")</f>
        <v>#REF!</v>
      </c>
      <c r="U9" s="169" t="str">
        <f ca="1">IF(AND('Mapa de Riesgos de Corrupción'!$AC$15="Muy Alta",'Mapa de Riesgos de Corrupción'!$AE$15="Menor"),CONCATENATE("R4C",'Mapa de Riesgos de Corrupción'!$R$15),"")</f>
        <v/>
      </c>
      <c r="V9" s="167" t="str">
        <f ca="1">IF(AND('Mapa de Riesgos de Corrupción'!$AC$13="Muy Alta",'Mapa de Riesgos de Corrupción'!$AE$13="Moderado"),CONCATENATE("R4C",'Mapa de Riesgos de Corrupción'!$R$13),"")</f>
        <v/>
      </c>
      <c r="W9" s="168" t="e">
        <f>IF(AND('Mapa de Riesgos de Corrupción'!#REF!="Muy Alta",'Mapa de Riesgos de Corrupción'!#REF!="Moderado"),CONCATENATE("R4C",'Mapa de Riesgos de Corrupción'!#REF!),"")</f>
        <v>#REF!</v>
      </c>
      <c r="X9" s="168" t="str">
        <f ca="1">IF(AND('Mapa de Riesgos de Corrupción'!$AC$14="Muy Alta",'Mapa de Riesgos de Corrupción'!$AE$14="Moderado"),CONCATENATE("R4C",'Mapa de Riesgos de Corrupción'!$R$14),"")</f>
        <v/>
      </c>
      <c r="Y9" s="168" t="e">
        <f>IF(AND('Mapa de Riesgos de Corrupción'!#REF!="Muy Alta",'Mapa de Riesgos de Corrupción'!#REF!="Moderado"),CONCATENATE("R4C",'Mapa de Riesgos de Corrupción'!#REF!),"")</f>
        <v>#REF!</v>
      </c>
      <c r="Z9" s="168" t="e">
        <f>IF(AND('Mapa de Riesgos de Corrupción'!#REF!="Muy Alta",'Mapa de Riesgos de Corrupción'!#REF!="Moderado"),CONCATENATE("R4C",'Mapa de Riesgos de Corrupción'!#REF!),"")</f>
        <v>#REF!</v>
      </c>
      <c r="AA9" s="169" t="str">
        <f ca="1">IF(AND('Mapa de Riesgos de Corrupción'!$AC$15="Muy Alta",'Mapa de Riesgos de Corrupción'!$AE$15="Moderado"),CONCATENATE("R4C",'Mapa de Riesgos de Corrupción'!$R$15),"")</f>
        <v/>
      </c>
      <c r="AB9" s="167" t="str">
        <f ca="1">IF(AND('Mapa de Riesgos de Corrupción'!$AC$13="Muy Alta",'Mapa de Riesgos de Corrupción'!$AE$13="Mayor"),CONCATENATE("R4C",'Mapa de Riesgos de Corrupción'!$R$13),"")</f>
        <v/>
      </c>
      <c r="AC9" s="168" t="e">
        <f>IF(AND('Mapa de Riesgos de Corrupción'!#REF!="Muy Alta",'Mapa de Riesgos de Corrupción'!#REF!="Mayor"),CONCATENATE("R4C",'Mapa de Riesgos de Corrupción'!#REF!),"")</f>
        <v>#REF!</v>
      </c>
      <c r="AD9" s="168" t="str">
        <f ca="1">IF(AND('Mapa de Riesgos de Corrupción'!$AC$14="Muy Alta",'Mapa de Riesgos de Corrupción'!$AE$14="Mayor"),CONCATENATE("R4C",'Mapa de Riesgos de Corrupción'!$R$14),"")</f>
        <v/>
      </c>
      <c r="AE9" s="168" t="e">
        <f>IF(AND('Mapa de Riesgos de Corrupción'!#REF!="Muy Alta",'Mapa de Riesgos de Corrupción'!#REF!="Mayor"),CONCATENATE("R4C",'Mapa de Riesgos de Corrupción'!#REF!),"")</f>
        <v>#REF!</v>
      </c>
      <c r="AF9" s="168" t="e">
        <f>IF(AND('Mapa de Riesgos de Corrupción'!#REF!="Muy Alta",'Mapa de Riesgos de Corrupción'!#REF!="Mayor"),CONCATENATE("R4C",'Mapa de Riesgos de Corrupción'!#REF!),"")</f>
        <v>#REF!</v>
      </c>
      <c r="AG9" s="169" t="str">
        <f ca="1">IF(AND('Mapa de Riesgos de Corrupción'!$AC$15="Muy Alta",'Mapa de Riesgos de Corrupción'!$AE$15="Mayor"),CONCATENATE("R4C",'Mapa de Riesgos de Corrupción'!$R$15),"")</f>
        <v/>
      </c>
      <c r="AH9" s="170" t="str">
        <f ca="1">IF(AND('Mapa de Riesgos de Corrupción'!$AC$13="Muy Alta",'Mapa de Riesgos de Corrupción'!$AE$13="Catastrófico"),CONCATENATE("R4C",'Mapa de Riesgos de Corrupción'!$R$13),"")</f>
        <v/>
      </c>
      <c r="AI9" s="171" t="e">
        <f>IF(AND('Mapa de Riesgos de Corrupción'!#REF!="Muy Alta",'Mapa de Riesgos de Corrupción'!#REF!="Catastrófico"),CONCATENATE("R4C",'Mapa de Riesgos de Corrupción'!#REF!),"")</f>
        <v>#REF!</v>
      </c>
      <c r="AJ9" s="171" t="str">
        <f ca="1">IF(AND('Mapa de Riesgos de Corrupción'!$AC$14="Muy Alta",'Mapa de Riesgos de Corrupción'!$AE$14="Catastrófico"),CONCATENATE("R4C",'Mapa de Riesgos de Corrupción'!$R$14),"")</f>
        <v/>
      </c>
      <c r="AK9" s="171" t="e">
        <f>IF(AND('Mapa de Riesgos de Corrupción'!#REF!="Muy Alta",'Mapa de Riesgos de Corrupción'!#REF!="Catastrófico"),CONCATENATE("R4C",'Mapa de Riesgos de Corrupción'!#REF!),"")</f>
        <v>#REF!</v>
      </c>
      <c r="AL9" s="171" t="e">
        <f>IF(AND('Mapa de Riesgos de Corrupción'!#REF!="Muy Alta",'Mapa de Riesgos de Corrupción'!#REF!="Catastrófico"),CONCATENATE("R4C",'Mapa de Riesgos de Corrupción'!#REF!),"")</f>
        <v>#REF!</v>
      </c>
      <c r="AM9" s="172" t="str">
        <f ca="1">IF(AND('Mapa de Riesgos de Corrupción'!$AC$15="Muy Alta",'Mapa de Riesgos de Corrupción'!$AE$15="Catastrófico"),CONCATENATE("R4C",'Mapa de Riesgos de Corrupción'!$R$15),"")</f>
        <v/>
      </c>
      <c r="AN9" s="122"/>
      <c r="AO9" s="312"/>
      <c r="AP9" s="224"/>
      <c r="AQ9" s="224"/>
      <c r="AR9" s="224"/>
      <c r="AS9" s="224"/>
      <c r="AT9" s="313"/>
      <c r="AU9" s="122"/>
      <c r="AV9" s="122"/>
      <c r="AW9" s="122"/>
      <c r="AX9" s="122"/>
      <c r="AY9" s="122"/>
      <c r="AZ9" s="122"/>
      <c r="BA9" s="122"/>
      <c r="BB9" s="122"/>
      <c r="BC9" s="122"/>
      <c r="BD9" s="122"/>
      <c r="BE9" s="122"/>
      <c r="BF9" s="122"/>
      <c r="BG9" s="122"/>
      <c r="BH9" s="122"/>
      <c r="BI9" s="122"/>
    </row>
    <row r="10" spans="1:61" ht="15" customHeight="1">
      <c r="A10" s="122"/>
      <c r="B10" s="293"/>
      <c r="C10" s="224"/>
      <c r="D10" s="265"/>
      <c r="E10" s="223"/>
      <c r="F10" s="224"/>
      <c r="G10" s="224"/>
      <c r="H10" s="224"/>
      <c r="I10" s="265"/>
      <c r="J10" s="167" t="str">
        <f ca="1">IF(AND('Mapa de Riesgos de Corrupción'!$AC$16="Muy Alta",'Mapa de Riesgos de Corrupción'!$AE$16="Leve"),CONCATENATE("R5C",'Mapa de Riesgos de Corrupción'!$R$16),"")</f>
        <v/>
      </c>
      <c r="K10" s="168" t="e">
        <f>IF(AND('Mapa de Riesgos de Corrupción'!#REF!="Muy Alta",'Mapa de Riesgos de Corrupción'!#REF!="Leve"),CONCATENATE("R5C",'Mapa de Riesgos de Corrupción'!#REF!),"")</f>
        <v>#REF!</v>
      </c>
      <c r="L10" s="168" t="e">
        <f>IF(AND('Mapa de Riesgos de Corrupción'!#REF!="Muy Alta",'Mapa de Riesgos de Corrupción'!#REF!="Leve"),CONCATENATE("R5C",'Mapa de Riesgos de Corrupción'!#REF!),"")</f>
        <v>#REF!</v>
      </c>
      <c r="M10" s="168" t="str">
        <f ca="1">IF(AND('Mapa de Riesgos de Corrupción'!$AC$17="Muy Alta",'Mapa de Riesgos de Corrupción'!$AE$17="Leve"),CONCATENATE("R5C",'Mapa de Riesgos de Corrupción'!$R$17),"")</f>
        <v/>
      </c>
      <c r="N10" s="168" t="e">
        <f>IF(AND('Mapa de Riesgos de Corrupción'!#REF!="Muy Alta",'Mapa de Riesgos de Corrupción'!#REF!="Leve"),CONCATENATE("R5C",'Mapa de Riesgos de Corrupción'!#REF!),"")</f>
        <v>#REF!</v>
      </c>
      <c r="O10" s="169" t="str">
        <f ca="1">IF(AND('Mapa de Riesgos de Corrupción'!$AC$18="Muy Alta",'Mapa de Riesgos de Corrupción'!$AE$18="Leve"),CONCATENATE("R5C",'Mapa de Riesgos de Corrupción'!$R$18),"")</f>
        <v/>
      </c>
      <c r="P10" s="167" t="str">
        <f ca="1">IF(AND('Mapa de Riesgos de Corrupción'!$AC$16="Muy Alta",'Mapa de Riesgos de Corrupción'!$AE$16="Menor"),CONCATENATE("R5C",'Mapa de Riesgos de Corrupción'!$R$16),"")</f>
        <v/>
      </c>
      <c r="Q10" s="168" t="e">
        <f>IF(AND('Mapa de Riesgos de Corrupción'!#REF!="Muy Alta",'Mapa de Riesgos de Corrupción'!#REF!="Menor"),CONCATENATE("R5C",'Mapa de Riesgos de Corrupción'!#REF!),"")</f>
        <v>#REF!</v>
      </c>
      <c r="R10" s="168" t="e">
        <f>IF(AND('Mapa de Riesgos de Corrupción'!#REF!="Muy Alta",'Mapa de Riesgos de Corrupción'!#REF!="Menor"),CONCATENATE("R5C",'Mapa de Riesgos de Corrupción'!#REF!),"")</f>
        <v>#REF!</v>
      </c>
      <c r="S10" s="168" t="str">
        <f ca="1">IF(AND('Mapa de Riesgos de Corrupción'!$AC$17="Muy Alta",'Mapa de Riesgos de Corrupción'!$AE$17="Menor"),CONCATENATE("R5C",'Mapa de Riesgos de Corrupción'!$R$17),"")</f>
        <v/>
      </c>
      <c r="T10" s="168" t="e">
        <f>IF(AND('Mapa de Riesgos de Corrupción'!#REF!="Muy Alta",'Mapa de Riesgos de Corrupción'!#REF!="Menor"),CONCATENATE("R5C",'Mapa de Riesgos de Corrupción'!#REF!),"")</f>
        <v>#REF!</v>
      </c>
      <c r="U10" s="169" t="str">
        <f ca="1">IF(AND('Mapa de Riesgos de Corrupción'!$AC$18="Muy Alta",'Mapa de Riesgos de Corrupción'!$AE$18="Menor"),CONCATENATE("R5C",'Mapa de Riesgos de Corrupción'!$R$18),"")</f>
        <v/>
      </c>
      <c r="V10" s="167" t="str">
        <f ca="1">IF(AND('Mapa de Riesgos de Corrupción'!$AC$16="Muy Alta",'Mapa de Riesgos de Corrupción'!$AE$16="Moderado"),CONCATENATE("R5C",'Mapa de Riesgos de Corrupción'!$R$16),"")</f>
        <v/>
      </c>
      <c r="W10" s="168" t="e">
        <f>IF(AND('Mapa de Riesgos de Corrupción'!#REF!="Muy Alta",'Mapa de Riesgos de Corrupción'!#REF!="Moderado"),CONCATENATE("R5C",'Mapa de Riesgos de Corrupción'!#REF!),"")</f>
        <v>#REF!</v>
      </c>
      <c r="X10" s="168" t="e">
        <f>IF(AND('Mapa de Riesgos de Corrupción'!#REF!="Muy Alta",'Mapa de Riesgos de Corrupción'!#REF!="Moderado"),CONCATENATE("R5C",'Mapa de Riesgos de Corrupción'!#REF!),"")</f>
        <v>#REF!</v>
      </c>
      <c r="Y10" s="168" t="str">
        <f ca="1">IF(AND('Mapa de Riesgos de Corrupción'!$AC$17="Muy Alta",'Mapa de Riesgos de Corrupción'!$AE$17="Moderado"),CONCATENATE("R5C",'Mapa de Riesgos de Corrupción'!$R$17),"")</f>
        <v/>
      </c>
      <c r="Z10" s="168" t="e">
        <f>IF(AND('Mapa de Riesgos de Corrupción'!#REF!="Muy Alta",'Mapa de Riesgos de Corrupción'!#REF!="Moderado"),CONCATENATE("R5C",'Mapa de Riesgos de Corrupción'!#REF!),"")</f>
        <v>#REF!</v>
      </c>
      <c r="AA10" s="169" t="str">
        <f ca="1">IF(AND('Mapa de Riesgos de Corrupción'!$AC$18="Muy Alta",'Mapa de Riesgos de Corrupción'!$AE$18="Moderado"),CONCATENATE("R5C",'Mapa de Riesgos de Corrupción'!$R$18),"")</f>
        <v/>
      </c>
      <c r="AB10" s="167" t="str">
        <f ca="1">IF(AND('Mapa de Riesgos de Corrupción'!$AC$16="Muy Alta",'Mapa de Riesgos de Corrupción'!$AE$16="Mayor"),CONCATENATE("R5C",'Mapa de Riesgos de Corrupción'!$R$16),"")</f>
        <v/>
      </c>
      <c r="AC10" s="168" t="e">
        <f>IF(AND('Mapa de Riesgos de Corrupción'!#REF!="Muy Alta",'Mapa de Riesgos de Corrupción'!#REF!="Mayor"),CONCATENATE("R5C",'Mapa de Riesgos de Corrupción'!#REF!),"")</f>
        <v>#REF!</v>
      </c>
      <c r="AD10" s="168" t="e">
        <f>IF(AND('Mapa de Riesgos de Corrupción'!#REF!="Muy Alta",'Mapa de Riesgos de Corrupción'!#REF!="Mayor"),CONCATENATE("R5C",'Mapa de Riesgos de Corrupción'!#REF!),"")</f>
        <v>#REF!</v>
      </c>
      <c r="AE10" s="168" t="str">
        <f ca="1">IF(AND('Mapa de Riesgos de Corrupción'!$AC$17="Muy Alta",'Mapa de Riesgos de Corrupción'!$AE$17="Mayor"),CONCATENATE("R5C",'Mapa de Riesgos de Corrupción'!$R$17),"")</f>
        <v/>
      </c>
      <c r="AF10" s="168" t="e">
        <f>IF(AND('Mapa de Riesgos de Corrupción'!#REF!="Muy Alta",'Mapa de Riesgos de Corrupción'!#REF!="Mayor"),CONCATENATE("R5C",'Mapa de Riesgos de Corrupción'!#REF!),"")</f>
        <v>#REF!</v>
      </c>
      <c r="AG10" s="169" t="str">
        <f ca="1">IF(AND('Mapa de Riesgos de Corrupción'!$AC$18="Muy Alta",'Mapa de Riesgos de Corrupción'!$AE$18="Mayor"),CONCATENATE("R5C",'Mapa de Riesgos de Corrupción'!$R$18),"")</f>
        <v/>
      </c>
      <c r="AH10" s="170" t="str">
        <f ca="1">IF(AND('Mapa de Riesgos de Corrupción'!$AC$16="Muy Alta",'Mapa de Riesgos de Corrupción'!$AE$16="Catastrófico"),CONCATENATE("R5C",'Mapa de Riesgos de Corrupción'!$R$16),"")</f>
        <v/>
      </c>
      <c r="AI10" s="171" t="e">
        <f>IF(AND('Mapa de Riesgos de Corrupción'!#REF!="Muy Alta",'Mapa de Riesgos de Corrupción'!#REF!="Catastrófico"),CONCATENATE("R5C",'Mapa de Riesgos de Corrupción'!#REF!),"")</f>
        <v>#REF!</v>
      </c>
      <c r="AJ10" s="171" t="e">
        <f>IF(AND('Mapa de Riesgos de Corrupción'!#REF!="Muy Alta",'Mapa de Riesgos de Corrupción'!#REF!="Catastrófico"),CONCATENATE("R5C",'Mapa de Riesgos de Corrupción'!#REF!),"")</f>
        <v>#REF!</v>
      </c>
      <c r="AK10" s="171" t="str">
        <f ca="1">IF(AND('Mapa de Riesgos de Corrupción'!$AC$17="Muy Alta",'Mapa de Riesgos de Corrupción'!$AE$17="Catastrófico"),CONCATENATE("R5C",'Mapa de Riesgos de Corrupción'!$R$17),"")</f>
        <v/>
      </c>
      <c r="AL10" s="171" t="e">
        <f>IF(AND('Mapa de Riesgos de Corrupción'!#REF!="Muy Alta",'Mapa de Riesgos de Corrupción'!#REF!="Catastrófico"),CONCATENATE("R5C",'Mapa de Riesgos de Corrupción'!#REF!),"")</f>
        <v>#REF!</v>
      </c>
      <c r="AM10" s="172" t="str">
        <f ca="1">IF(AND('Mapa de Riesgos de Corrupción'!$AC$18="Muy Alta",'Mapa de Riesgos de Corrupción'!$AE$18="Catastrófico"),CONCATENATE("R5C",'Mapa de Riesgos de Corrupción'!$R$18),"")</f>
        <v/>
      </c>
      <c r="AN10" s="122"/>
      <c r="AO10" s="312"/>
      <c r="AP10" s="224"/>
      <c r="AQ10" s="224"/>
      <c r="AR10" s="224"/>
      <c r="AS10" s="224"/>
      <c r="AT10" s="313"/>
      <c r="AU10" s="122"/>
      <c r="AV10" s="122"/>
      <c r="AW10" s="122"/>
      <c r="AX10" s="122"/>
      <c r="AY10" s="122"/>
      <c r="AZ10" s="122"/>
      <c r="BA10" s="122"/>
      <c r="BB10" s="122"/>
      <c r="BC10" s="122"/>
      <c r="BD10" s="122"/>
      <c r="BE10" s="122"/>
      <c r="BF10" s="122"/>
      <c r="BG10" s="122"/>
      <c r="BH10" s="122"/>
      <c r="BI10" s="122"/>
    </row>
    <row r="11" spans="1:61" ht="15" customHeight="1">
      <c r="A11" s="122"/>
      <c r="B11" s="293"/>
      <c r="C11" s="224"/>
      <c r="D11" s="265"/>
      <c r="E11" s="223"/>
      <c r="F11" s="224"/>
      <c r="G11" s="224"/>
      <c r="H11" s="224"/>
      <c r="I11" s="265"/>
      <c r="J11" s="167" t="e">
        <f>IF(AND('Mapa de Riesgos de Corrupción'!#REF!="Muy Alta",'Mapa de Riesgos de Corrupción'!#REF!="Leve"),CONCATENATE("R6C",'Mapa de Riesgos de Corrupción'!#REF!),"")</f>
        <v>#REF!</v>
      </c>
      <c r="K11" s="168" t="e">
        <f>IF(AND('Mapa de Riesgos de Corrupción'!#REF!="Muy Alta",'Mapa de Riesgos de Corrupción'!#REF!="Leve"),CONCATENATE("R6C",'Mapa de Riesgos de Corrupción'!#REF!),"")</f>
        <v>#REF!</v>
      </c>
      <c r="L11" s="168" t="e">
        <f>IF(AND('Mapa de Riesgos de Corrupción'!#REF!="Muy Alta",'Mapa de Riesgos de Corrupción'!#REF!="Leve"),CONCATENATE("R6C",'Mapa de Riesgos de Corrupción'!#REF!),"")</f>
        <v>#REF!</v>
      </c>
      <c r="M11" s="168" t="e">
        <f>IF(AND('Mapa de Riesgos de Corrupción'!#REF!="Muy Alta",'Mapa de Riesgos de Corrupción'!#REF!="Leve"),CONCATENATE("R6C",'Mapa de Riesgos de Corrupción'!#REF!),"")</f>
        <v>#REF!</v>
      </c>
      <c r="N11" s="168" t="e">
        <f>IF(AND('Mapa de Riesgos de Corrupción'!#REF!="Muy Alta",'Mapa de Riesgos de Corrupción'!#REF!="Leve"),CONCATENATE("R6C",'Mapa de Riesgos de Corrupción'!#REF!),"")</f>
        <v>#REF!</v>
      </c>
      <c r="O11" s="169" t="e">
        <f>IF(AND('Mapa de Riesgos de Corrupción'!#REF!="Muy Alta",'Mapa de Riesgos de Corrupción'!#REF!="Leve"),CONCATENATE("R6C",'Mapa de Riesgos de Corrupción'!#REF!),"")</f>
        <v>#REF!</v>
      </c>
      <c r="P11" s="167" t="e">
        <f>IF(AND('Mapa de Riesgos de Corrupción'!#REF!="Muy Alta",'Mapa de Riesgos de Corrupción'!#REF!="Menor"),CONCATENATE("R6C",'Mapa de Riesgos de Corrupción'!#REF!),"")</f>
        <v>#REF!</v>
      </c>
      <c r="Q11" s="168" t="e">
        <f>IF(AND('Mapa de Riesgos de Corrupción'!#REF!="Muy Alta",'Mapa de Riesgos de Corrupción'!#REF!="Menor"),CONCATENATE("R6C",'Mapa de Riesgos de Corrupción'!#REF!),"")</f>
        <v>#REF!</v>
      </c>
      <c r="R11" s="168" t="e">
        <f>IF(AND('Mapa de Riesgos de Corrupción'!#REF!="Muy Alta",'Mapa de Riesgos de Corrupción'!#REF!="Menor"),CONCATENATE("R6C",'Mapa de Riesgos de Corrupción'!#REF!),"")</f>
        <v>#REF!</v>
      </c>
      <c r="S11" s="168" t="e">
        <f>IF(AND('Mapa de Riesgos de Corrupción'!#REF!="Muy Alta",'Mapa de Riesgos de Corrupción'!#REF!="Menor"),CONCATENATE("R6C",'Mapa de Riesgos de Corrupción'!#REF!),"")</f>
        <v>#REF!</v>
      </c>
      <c r="T11" s="168" t="e">
        <f>IF(AND('Mapa de Riesgos de Corrupción'!#REF!="Muy Alta",'Mapa de Riesgos de Corrupción'!#REF!="Menor"),CONCATENATE("R6C",'Mapa de Riesgos de Corrupción'!#REF!),"")</f>
        <v>#REF!</v>
      </c>
      <c r="U11" s="169" t="e">
        <f>IF(AND('Mapa de Riesgos de Corrupción'!#REF!="Muy Alta",'Mapa de Riesgos de Corrupción'!#REF!="Menor"),CONCATENATE("R6C",'Mapa de Riesgos de Corrupción'!#REF!),"")</f>
        <v>#REF!</v>
      </c>
      <c r="V11" s="167" t="e">
        <f>IF(AND('Mapa de Riesgos de Corrupción'!#REF!="Muy Alta",'Mapa de Riesgos de Corrupción'!#REF!="Moderado"),CONCATENATE("R6C",'Mapa de Riesgos de Corrupción'!#REF!),"")</f>
        <v>#REF!</v>
      </c>
      <c r="W11" s="168" t="e">
        <f>IF(AND('Mapa de Riesgos de Corrupción'!#REF!="Muy Alta",'Mapa de Riesgos de Corrupción'!#REF!="Moderado"),CONCATENATE("R6C",'Mapa de Riesgos de Corrupción'!#REF!),"")</f>
        <v>#REF!</v>
      </c>
      <c r="X11" s="168" t="e">
        <f>IF(AND('Mapa de Riesgos de Corrupción'!#REF!="Muy Alta",'Mapa de Riesgos de Corrupción'!#REF!="Moderado"),CONCATENATE("R6C",'Mapa de Riesgos de Corrupción'!#REF!),"")</f>
        <v>#REF!</v>
      </c>
      <c r="Y11" s="168" t="e">
        <f>IF(AND('Mapa de Riesgos de Corrupción'!#REF!="Muy Alta",'Mapa de Riesgos de Corrupción'!#REF!="Moderado"),CONCATENATE("R6C",'Mapa de Riesgos de Corrupción'!#REF!),"")</f>
        <v>#REF!</v>
      </c>
      <c r="Z11" s="168" t="e">
        <f>IF(AND('Mapa de Riesgos de Corrupción'!#REF!="Muy Alta",'Mapa de Riesgos de Corrupción'!#REF!="Moderado"),CONCATENATE("R6C",'Mapa de Riesgos de Corrupción'!#REF!),"")</f>
        <v>#REF!</v>
      </c>
      <c r="AA11" s="169" t="e">
        <f>IF(AND('Mapa de Riesgos de Corrupción'!#REF!="Muy Alta",'Mapa de Riesgos de Corrupción'!#REF!="Moderado"),CONCATENATE("R6C",'Mapa de Riesgos de Corrupción'!#REF!),"")</f>
        <v>#REF!</v>
      </c>
      <c r="AB11" s="167" t="e">
        <f>IF(AND('Mapa de Riesgos de Corrupción'!#REF!="Muy Alta",'Mapa de Riesgos de Corrupción'!#REF!="Mayor"),CONCATENATE("R6C",'Mapa de Riesgos de Corrupción'!#REF!),"")</f>
        <v>#REF!</v>
      </c>
      <c r="AC11" s="168" t="e">
        <f>IF(AND('Mapa de Riesgos de Corrupción'!#REF!="Muy Alta",'Mapa de Riesgos de Corrupción'!#REF!="Mayor"),CONCATENATE("R6C",'Mapa de Riesgos de Corrupción'!#REF!),"")</f>
        <v>#REF!</v>
      </c>
      <c r="AD11" s="168" t="e">
        <f>IF(AND('Mapa de Riesgos de Corrupción'!#REF!="Muy Alta",'Mapa de Riesgos de Corrupción'!#REF!="Mayor"),CONCATENATE("R6C",'Mapa de Riesgos de Corrupción'!#REF!),"")</f>
        <v>#REF!</v>
      </c>
      <c r="AE11" s="168" t="e">
        <f>IF(AND('Mapa de Riesgos de Corrupción'!#REF!="Muy Alta",'Mapa de Riesgos de Corrupción'!#REF!="Mayor"),CONCATENATE("R6C",'Mapa de Riesgos de Corrupción'!#REF!),"")</f>
        <v>#REF!</v>
      </c>
      <c r="AF11" s="168" t="e">
        <f>IF(AND('Mapa de Riesgos de Corrupción'!#REF!="Muy Alta",'Mapa de Riesgos de Corrupción'!#REF!="Mayor"),CONCATENATE("R6C",'Mapa de Riesgos de Corrupción'!#REF!),"")</f>
        <v>#REF!</v>
      </c>
      <c r="AG11" s="169" t="e">
        <f>IF(AND('Mapa de Riesgos de Corrupción'!#REF!="Muy Alta",'Mapa de Riesgos de Corrupción'!#REF!="Mayor"),CONCATENATE("R6C",'Mapa de Riesgos de Corrupción'!#REF!),"")</f>
        <v>#REF!</v>
      </c>
      <c r="AH11" s="170" t="e">
        <f>IF(AND('Mapa de Riesgos de Corrupción'!#REF!="Muy Alta",'Mapa de Riesgos de Corrupción'!#REF!="Catastrófico"),CONCATENATE("R6C",'Mapa de Riesgos de Corrupción'!#REF!),"")</f>
        <v>#REF!</v>
      </c>
      <c r="AI11" s="171" t="e">
        <f>IF(AND('Mapa de Riesgos de Corrupción'!#REF!="Muy Alta",'Mapa de Riesgos de Corrupción'!#REF!="Catastrófico"),CONCATENATE("R6C",'Mapa de Riesgos de Corrupción'!#REF!),"")</f>
        <v>#REF!</v>
      </c>
      <c r="AJ11" s="171" t="e">
        <f>IF(AND('Mapa de Riesgos de Corrupción'!#REF!="Muy Alta",'Mapa de Riesgos de Corrupción'!#REF!="Catastrófico"),CONCATENATE("R6C",'Mapa de Riesgos de Corrupción'!#REF!),"")</f>
        <v>#REF!</v>
      </c>
      <c r="AK11" s="171" t="e">
        <f>IF(AND('Mapa de Riesgos de Corrupción'!#REF!="Muy Alta",'Mapa de Riesgos de Corrupción'!#REF!="Catastrófico"),CONCATENATE("R6C",'Mapa de Riesgos de Corrupción'!#REF!),"")</f>
        <v>#REF!</v>
      </c>
      <c r="AL11" s="171" t="e">
        <f>IF(AND('Mapa de Riesgos de Corrupción'!#REF!="Muy Alta",'Mapa de Riesgos de Corrupción'!#REF!="Catastrófico"),CONCATENATE("R6C",'Mapa de Riesgos de Corrupción'!#REF!),"")</f>
        <v>#REF!</v>
      </c>
      <c r="AM11" s="172" t="e">
        <f>IF(AND('Mapa de Riesgos de Corrupción'!#REF!="Muy Alta",'Mapa de Riesgos de Corrupción'!#REF!="Catastrófico"),CONCATENATE("R6C",'Mapa de Riesgos de Corrupción'!#REF!),"")</f>
        <v>#REF!</v>
      </c>
      <c r="AN11" s="122"/>
      <c r="AO11" s="312"/>
      <c r="AP11" s="224"/>
      <c r="AQ11" s="224"/>
      <c r="AR11" s="224"/>
      <c r="AS11" s="224"/>
      <c r="AT11" s="313"/>
      <c r="AU11" s="122"/>
      <c r="AV11" s="122"/>
      <c r="AW11" s="122"/>
      <c r="AX11" s="122"/>
      <c r="AY11" s="122"/>
      <c r="AZ11" s="122"/>
      <c r="BA11" s="122"/>
      <c r="BB11" s="122"/>
      <c r="BC11" s="122"/>
      <c r="BD11" s="122"/>
      <c r="BE11" s="122"/>
      <c r="BF11" s="122"/>
      <c r="BG11" s="122"/>
      <c r="BH11" s="122"/>
      <c r="BI11" s="122"/>
    </row>
    <row r="12" spans="1:61" ht="15" customHeight="1">
      <c r="A12" s="122"/>
      <c r="B12" s="293"/>
      <c r="C12" s="224"/>
      <c r="D12" s="265"/>
      <c r="E12" s="223"/>
      <c r="F12" s="224"/>
      <c r="G12" s="224"/>
      <c r="H12" s="224"/>
      <c r="I12" s="265"/>
      <c r="J12" s="167" t="e">
        <f>IF(AND('Mapa de Riesgos de Corrupción'!#REF!="Muy Alta",'Mapa de Riesgos de Corrupción'!#REF!="Leve"),CONCATENATE("R7C",'Mapa de Riesgos de Corrupción'!#REF!),"")</f>
        <v>#REF!</v>
      </c>
      <c r="K12" s="168" t="str">
        <f ca="1">IF(AND('Mapa de Riesgos de Corrupción'!$AC$19="Muy Alta",'Mapa de Riesgos de Corrupción'!$AE$19="Leve"),CONCATENATE("R7C",'Mapa de Riesgos de Corrupción'!$R$19),"")</f>
        <v/>
      </c>
      <c r="L12" s="168" t="e">
        <f>IF(AND('Mapa de Riesgos de Corrupción'!#REF!="Muy Alta",'Mapa de Riesgos de Corrupción'!#REF!="Leve"),CONCATENATE("R7C",'Mapa de Riesgos de Corrupción'!#REF!),"")</f>
        <v>#REF!</v>
      </c>
      <c r="M12" s="168" t="str">
        <f ca="1">IF(AND('Mapa de Riesgos de Corrupción'!$AC$20="Muy Alta",'Mapa de Riesgos de Corrupción'!$AE$20="Leve"),CONCATENATE("R7C",'Mapa de Riesgos de Corrupción'!$R$20),"")</f>
        <v/>
      </c>
      <c r="N12" s="168" t="e">
        <f>IF(AND('Mapa de Riesgos de Corrupción'!#REF!="Muy Alta",'Mapa de Riesgos de Corrupción'!#REF!="Leve"),CONCATENATE("R7C",'Mapa de Riesgos de Corrupción'!#REF!),"")</f>
        <v>#REF!</v>
      </c>
      <c r="O12" s="169" t="e">
        <f>IF(AND('Mapa de Riesgos de Corrupción'!#REF!="Muy Alta",'Mapa de Riesgos de Corrupción'!#REF!="Leve"),CONCATENATE("R7C",'Mapa de Riesgos de Corrupción'!#REF!),"")</f>
        <v>#REF!</v>
      </c>
      <c r="P12" s="167" t="e">
        <f>IF(AND('Mapa de Riesgos de Corrupción'!#REF!="Muy Alta",'Mapa de Riesgos de Corrupción'!#REF!="Menor"),CONCATENATE("R7C",'Mapa de Riesgos de Corrupción'!#REF!),"")</f>
        <v>#REF!</v>
      </c>
      <c r="Q12" s="168" t="str">
        <f ca="1">IF(AND('Mapa de Riesgos de Corrupción'!$AC$19="Muy Alta",'Mapa de Riesgos de Corrupción'!$AE$19="Menor"),CONCATENATE("R7C",'Mapa de Riesgos de Corrupción'!$R$19),"")</f>
        <v/>
      </c>
      <c r="R12" s="168" t="e">
        <f>IF(AND('Mapa de Riesgos de Corrupción'!#REF!="Muy Alta",'Mapa de Riesgos de Corrupción'!#REF!="Menor"),CONCATENATE("R7C",'Mapa de Riesgos de Corrupción'!#REF!),"")</f>
        <v>#REF!</v>
      </c>
      <c r="S12" s="168" t="str">
        <f ca="1">IF(AND('Mapa de Riesgos de Corrupción'!$AC$20="Muy Alta",'Mapa de Riesgos de Corrupción'!$AE$20="Menor"),CONCATENATE("R7C",'Mapa de Riesgos de Corrupción'!$R$20),"")</f>
        <v/>
      </c>
      <c r="T12" s="168" t="e">
        <f>IF(AND('Mapa de Riesgos de Corrupción'!#REF!="Muy Alta",'Mapa de Riesgos de Corrupción'!#REF!="Menor"),CONCATENATE("R7C",'Mapa de Riesgos de Corrupción'!#REF!),"")</f>
        <v>#REF!</v>
      </c>
      <c r="U12" s="169" t="e">
        <f>IF(AND('Mapa de Riesgos de Corrupción'!#REF!="Muy Alta",'Mapa de Riesgos de Corrupción'!#REF!="Menor"),CONCATENATE("R7C",'Mapa de Riesgos de Corrupción'!#REF!),"")</f>
        <v>#REF!</v>
      </c>
      <c r="V12" s="167" t="e">
        <f>IF(AND('Mapa de Riesgos de Corrupción'!#REF!="Muy Alta",'Mapa de Riesgos de Corrupción'!#REF!="Moderado"),CONCATENATE("R7C",'Mapa de Riesgos de Corrupción'!#REF!),"")</f>
        <v>#REF!</v>
      </c>
      <c r="W12" s="168" t="str">
        <f ca="1">IF(AND('Mapa de Riesgos de Corrupción'!$AC$19="Muy Alta",'Mapa de Riesgos de Corrupción'!$AE$19="Moderado"),CONCATENATE("R7C",'Mapa de Riesgos de Corrupción'!$R$19),"")</f>
        <v/>
      </c>
      <c r="X12" s="168" t="e">
        <f>IF(AND('Mapa de Riesgos de Corrupción'!#REF!="Muy Alta",'Mapa de Riesgos de Corrupción'!#REF!="Moderado"),CONCATENATE("R7C",'Mapa de Riesgos de Corrupción'!#REF!),"")</f>
        <v>#REF!</v>
      </c>
      <c r="Y12" s="168" t="str">
        <f ca="1">IF(AND('Mapa de Riesgos de Corrupción'!$AC$20="Muy Alta",'Mapa de Riesgos de Corrupción'!$AE$20="Moderado"),CONCATENATE("R7C",'Mapa de Riesgos de Corrupción'!$R$20),"")</f>
        <v/>
      </c>
      <c r="Z12" s="168" t="e">
        <f>IF(AND('Mapa de Riesgos de Corrupción'!#REF!="Muy Alta",'Mapa de Riesgos de Corrupción'!#REF!="Moderado"),CONCATENATE("R7C",'Mapa de Riesgos de Corrupción'!#REF!),"")</f>
        <v>#REF!</v>
      </c>
      <c r="AA12" s="169" t="e">
        <f>IF(AND('Mapa de Riesgos de Corrupción'!#REF!="Muy Alta",'Mapa de Riesgos de Corrupción'!#REF!="Moderado"),CONCATENATE("R7C",'Mapa de Riesgos de Corrupción'!#REF!),"")</f>
        <v>#REF!</v>
      </c>
      <c r="AB12" s="167" t="e">
        <f>IF(AND('Mapa de Riesgos de Corrupción'!#REF!="Muy Alta",'Mapa de Riesgos de Corrupción'!#REF!="Mayor"),CONCATENATE("R7C",'Mapa de Riesgos de Corrupción'!#REF!),"")</f>
        <v>#REF!</v>
      </c>
      <c r="AC12" s="168" t="str">
        <f ca="1">IF(AND('Mapa de Riesgos de Corrupción'!$AC$19="Muy Alta",'Mapa de Riesgos de Corrupción'!$AE$19="Mayor"),CONCATENATE("R7C",'Mapa de Riesgos de Corrupción'!$R$19),"")</f>
        <v/>
      </c>
      <c r="AD12" s="168" t="e">
        <f>IF(AND('Mapa de Riesgos de Corrupción'!#REF!="Muy Alta",'Mapa de Riesgos de Corrupción'!#REF!="Mayor"),CONCATENATE("R7C",'Mapa de Riesgos de Corrupción'!#REF!),"")</f>
        <v>#REF!</v>
      </c>
      <c r="AE12" s="168" t="str">
        <f ca="1">IF(AND('Mapa de Riesgos de Corrupción'!$AC$20="Muy Alta",'Mapa de Riesgos de Corrupción'!$AE$20="Mayor"),CONCATENATE("R7C",'Mapa de Riesgos de Corrupción'!$R$20),"")</f>
        <v/>
      </c>
      <c r="AF12" s="168" t="e">
        <f>IF(AND('Mapa de Riesgos de Corrupción'!#REF!="Muy Alta",'Mapa de Riesgos de Corrupción'!#REF!="Mayor"),CONCATENATE("R7C",'Mapa de Riesgos de Corrupción'!#REF!),"")</f>
        <v>#REF!</v>
      </c>
      <c r="AG12" s="169" t="e">
        <f>IF(AND('Mapa de Riesgos de Corrupción'!#REF!="Muy Alta",'Mapa de Riesgos de Corrupción'!#REF!="Mayor"),CONCATENATE("R7C",'Mapa de Riesgos de Corrupción'!#REF!),"")</f>
        <v>#REF!</v>
      </c>
      <c r="AH12" s="170" t="e">
        <f>IF(AND('Mapa de Riesgos de Corrupción'!#REF!="Muy Alta",'Mapa de Riesgos de Corrupción'!#REF!="Catastrófico"),CONCATENATE("R7C",'Mapa de Riesgos de Corrupción'!#REF!),"")</f>
        <v>#REF!</v>
      </c>
      <c r="AI12" s="171" t="str">
        <f ca="1">IF(AND('Mapa de Riesgos de Corrupción'!$AC$19="Muy Alta",'Mapa de Riesgos de Corrupción'!$AE$19="Catastrófico"),CONCATENATE("R7C",'Mapa de Riesgos de Corrupción'!$R$19),"")</f>
        <v/>
      </c>
      <c r="AJ12" s="171" t="e">
        <f>IF(AND('Mapa de Riesgos de Corrupción'!#REF!="Muy Alta",'Mapa de Riesgos de Corrupción'!#REF!="Catastrófico"),CONCATENATE("R7C",'Mapa de Riesgos de Corrupción'!#REF!),"")</f>
        <v>#REF!</v>
      </c>
      <c r="AK12" s="171" t="str">
        <f ca="1">IF(AND('Mapa de Riesgos de Corrupción'!$AC$20="Muy Alta",'Mapa de Riesgos de Corrupción'!$AE$20="Catastrófico"),CONCATENATE("R7C",'Mapa de Riesgos de Corrupción'!$R$20),"")</f>
        <v/>
      </c>
      <c r="AL12" s="171" t="e">
        <f>IF(AND('Mapa de Riesgos de Corrupción'!#REF!="Muy Alta",'Mapa de Riesgos de Corrupción'!#REF!="Catastrófico"),CONCATENATE("R7C",'Mapa de Riesgos de Corrupción'!#REF!),"")</f>
        <v>#REF!</v>
      </c>
      <c r="AM12" s="172" t="e">
        <f>IF(AND('Mapa de Riesgos de Corrupción'!#REF!="Muy Alta",'Mapa de Riesgos de Corrupción'!#REF!="Catastrófico"),CONCATENATE("R7C",'Mapa de Riesgos de Corrupción'!#REF!),"")</f>
        <v>#REF!</v>
      </c>
      <c r="AN12" s="122"/>
      <c r="AO12" s="312"/>
      <c r="AP12" s="224"/>
      <c r="AQ12" s="224"/>
      <c r="AR12" s="224"/>
      <c r="AS12" s="224"/>
      <c r="AT12" s="313"/>
      <c r="AU12" s="122"/>
      <c r="AV12" s="122"/>
      <c r="AW12" s="122"/>
      <c r="AX12" s="122"/>
      <c r="AY12" s="122"/>
      <c r="AZ12" s="122"/>
      <c r="BA12" s="122"/>
      <c r="BB12" s="122"/>
      <c r="BC12" s="122"/>
      <c r="BD12" s="122"/>
      <c r="BE12" s="122"/>
      <c r="BF12" s="122"/>
      <c r="BG12" s="122"/>
      <c r="BH12" s="122"/>
      <c r="BI12" s="122"/>
    </row>
    <row r="13" spans="1:61" ht="15" customHeight="1">
      <c r="A13" s="122"/>
      <c r="B13" s="293"/>
      <c r="C13" s="224"/>
      <c r="D13" s="265"/>
      <c r="E13" s="223"/>
      <c r="F13" s="224"/>
      <c r="G13" s="224"/>
      <c r="H13" s="224"/>
      <c r="I13" s="265"/>
      <c r="J13" s="167" t="e">
        <f>IF(AND('Mapa de Riesgos de Corrupción'!#REF!="Muy Alta",'Mapa de Riesgos de Corrupción'!#REF!="Leve"),CONCATENATE("R8C",'Mapa de Riesgos de Corrupción'!#REF!),"")</f>
        <v>#REF!</v>
      </c>
      <c r="K13" s="168" t="e">
        <f>IF(AND('Mapa de Riesgos de Corrupción'!#REF!="Muy Alta",'Mapa de Riesgos de Corrupción'!#REF!="Leve"),CONCATENATE("R8C",'Mapa de Riesgos de Corrupción'!#REF!),"")</f>
        <v>#REF!</v>
      </c>
      <c r="L13" s="168" t="e">
        <f>IF(AND('Mapa de Riesgos de Corrupción'!#REF!="Muy Alta",'Mapa de Riesgos de Corrupción'!#REF!="Leve"),CONCATENATE("R8C",'Mapa de Riesgos de Corrupción'!#REF!),"")</f>
        <v>#REF!</v>
      </c>
      <c r="M13" s="168" t="e">
        <f>IF(AND('Mapa de Riesgos de Corrupción'!#REF!="Muy Alta",'Mapa de Riesgos de Corrupción'!#REF!="Leve"),CONCATENATE("R8C",'Mapa de Riesgos de Corrupción'!#REF!),"")</f>
        <v>#REF!</v>
      </c>
      <c r="N13" s="168" t="e">
        <f>IF(AND('Mapa de Riesgos de Corrupción'!#REF!="Muy Alta",'Mapa de Riesgos de Corrupción'!#REF!="Leve"),CONCATENATE("R8C",'Mapa de Riesgos de Corrupción'!#REF!),"")</f>
        <v>#REF!</v>
      </c>
      <c r="O13" s="169" t="e">
        <f>IF(AND('Mapa de Riesgos de Corrupción'!#REF!="Muy Alta",'Mapa de Riesgos de Corrupción'!#REF!="Leve"),CONCATENATE("R8C",'Mapa de Riesgos de Corrupción'!#REF!),"")</f>
        <v>#REF!</v>
      </c>
      <c r="P13" s="167" t="e">
        <f>IF(AND('Mapa de Riesgos de Corrupción'!#REF!="Muy Alta",'Mapa de Riesgos de Corrupción'!#REF!="Menor"),CONCATENATE("R8C",'Mapa de Riesgos de Corrupción'!#REF!),"")</f>
        <v>#REF!</v>
      </c>
      <c r="Q13" s="168" t="e">
        <f>IF(AND('Mapa de Riesgos de Corrupción'!#REF!="Muy Alta",'Mapa de Riesgos de Corrupción'!#REF!="Menor"),CONCATENATE("R8C",'Mapa de Riesgos de Corrupción'!#REF!),"")</f>
        <v>#REF!</v>
      </c>
      <c r="R13" s="168" t="e">
        <f>IF(AND('Mapa de Riesgos de Corrupción'!#REF!="Muy Alta",'Mapa de Riesgos de Corrupción'!#REF!="Menor"),CONCATENATE("R8C",'Mapa de Riesgos de Corrupción'!#REF!),"")</f>
        <v>#REF!</v>
      </c>
      <c r="S13" s="168" t="e">
        <f>IF(AND('Mapa de Riesgos de Corrupción'!#REF!="Muy Alta",'Mapa de Riesgos de Corrupción'!#REF!="Menor"),CONCATENATE("R8C",'Mapa de Riesgos de Corrupción'!#REF!),"")</f>
        <v>#REF!</v>
      </c>
      <c r="T13" s="168" t="e">
        <f>IF(AND('Mapa de Riesgos de Corrupción'!#REF!="Muy Alta",'Mapa de Riesgos de Corrupción'!#REF!="Menor"),CONCATENATE("R8C",'Mapa de Riesgos de Corrupción'!#REF!),"")</f>
        <v>#REF!</v>
      </c>
      <c r="U13" s="169" t="e">
        <f>IF(AND('Mapa de Riesgos de Corrupción'!#REF!="Muy Alta",'Mapa de Riesgos de Corrupción'!#REF!="Menor"),CONCATENATE("R8C",'Mapa de Riesgos de Corrupción'!#REF!),"")</f>
        <v>#REF!</v>
      </c>
      <c r="V13" s="167" t="e">
        <f>IF(AND('Mapa de Riesgos de Corrupción'!#REF!="Muy Alta",'Mapa de Riesgos de Corrupción'!#REF!="Moderado"),CONCATENATE("R8C",'Mapa de Riesgos de Corrupción'!#REF!),"")</f>
        <v>#REF!</v>
      </c>
      <c r="W13" s="168" t="e">
        <f>IF(AND('Mapa de Riesgos de Corrupción'!#REF!="Muy Alta",'Mapa de Riesgos de Corrupción'!#REF!="Moderado"),CONCATENATE("R8C",'Mapa de Riesgos de Corrupción'!#REF!),"")</f>
        <v>#REF!</v>
      </c>
      <c r="X13" s="168" t="e">
        <f>IF(AND('Mapa de Riesgos de Corrupción'!#REF!="Muy Alta",'Mapa de Riesgos de Corrupción'!#REF!="Moderado"),CONCATENATE("R8C",'Mapa de Riesgos de Corrupción'!#REF!),"")</f>
        <v>#REF!</v>
      </c>
      <c r="Y13" s="168" t="e">
        <f>IF(AND('Mapa de Riesgos de Corrupción'!#REF!="Muy Alta",'Mapa de Riesgos de Corrupción'!#REF!="Moderado"),CONCATENATE("R8C",'Mapa de Riesgos de Corrupción'!#REF!),"")</f>
        <v>#REF!</v>
      </c>
      <c r="Z13" s="168" t="e">
        <f>IF(AND('Mapa de Riesgos de Corrupción'!#REF!="Muy Alta",'Mapa de Riesgos de Corrupción'!#REF!="Moderado"),CONCATENATE("R8C",'Mapa de Riesgos de Corrupción'!#REF!),"")</f>
        <v>#REF!</v>
      </c>
      <c r="AA13" s="169" t="e">
        <f>IF(AND('Mapa de Riesgos de Corrupción'!#REF!="Muy Alta",'Mapa de Riesgos de Corrupción'!#REF!="Moderado"),CONCATENATE("R8C",'Mapa de Riesgos de Corrupción'!#REF!),"")</f>
        <v>#REF!</v>
      </c>
      <c r="AB13" s="167" t="e">
        <f>IF(AND('Mapa de Riesgos de Corrupción'!#REF!="Muy Alta",'Mapa de Riesgos de Corrupción'!#REF!="Mayor"),CONCATENATE("R8C",'Mapa de Riesgos de Corrupción'!#REF!),"")</f>
        <v>#REF!</v>
      </c>
      <c r="AC13" s="168" t="e">
        <f>IF(AND('Mapa de Riesgos de Corrupción'!#REF!="Muy Alta",'Mapa de Riesgos de Corrupción'!#REF!="Mayor"),CONCATENATE("R8C",'Mapa de Riesgos de Corrupción'!#REF!),"")</f>
        <v>#REF!</v>
      </c>
      <c r="AD13" s="168" t="e">
        <f>IF(AND('Mapa de Riesgos de Corrupción'!#REF!="Muy Alta",'Mapa de Riesgos de Corrupción'!#REF!="Mayor"),CONCATENATE("R8C",'Mapa de Riesgos de Corrupción'!#REF!),"")</f>
        <v>#REF!</v>
      </c>
      <c r="AE13" s="168" t="e">
        <f>IF(AND('Mapa de Riesgos de Corrupción'!#REF!="Muy Alta",'Mapa de Riesgos de Corrupción'!#REF!="Mayor"),CONCATENATE("R8C",'Mapa de Riesgos de Corrupción'!#REF!),"")</f>
        <v>#REF!</v>
      </c>
      <c r="AF13" s="168" t="e">
        <f>IF(AND('Mapa de Riesgos de Corrupción'!#REF!="Muy Alta",'Mapa de Riesgos de Corrupción'!#REF!="Mayor"),CONCATENATE("R8C",'Mapa de Riesgos de Corrupción'!#REF!),"")</f>
        <v>#REF!</v>
      </c>
      <c r="AG13" s="169" t="e">
        <f>IF(AND('Mapa de Riesgos de Corrupción'!#REF!="Muy Alta",'Mapa de Riesgos de Corrupción'!#REF!="Mayor"),CONCATENATE("R8C",'Mapa de Riesgos de Corrupción'!#REF!),"")</f>
        <v>#REF!</v>
      </c>
      <c r="AH13" s="170" t="e">
        <f>IF(AND('Mapa de Riesgos de Corrupción'!#REF!="Muy Alta",'Mapa de Riesgos de Corrupción'!#REF!="Catastrófico"),CONCATENATE("R8C",'Mapa de Riesgos de Corrupción'!#REF!),"")</f>
        <v>#REF!</v>
      </c>
      <c r="AI13" s="171" t="e">
        <f>IF(AND('Mapa de Riesgos de Corrupción'!#REF!="Muy Alta",'Mapa de Riesgos de Corrupción'!#REF!="Catastrófico"),CONCATENATE("R8C",'Mapa de Riesgos de Corrupción'!#REF!),"")</f>
        <v>#REF!</v>
      </c>
      <c r="AJ13" s="171" t="e">
        <f>IF(AND('Mapa de Riesgos de Corrupción'!#REF!="Muy Alta",'Mapa de Riesgos de Corrupción'!#REF!="Catastrófico"),CONCATENATE("R8C",'Mapa de Riesgos de Corrupción'!#REF!),"")</f>
        <v>#REF!</v>
      </c>
      <c r="AK13" s="171" t="e">
        <f>IF(AND('Mapa de Riesgos de Corrupción'!#REF!="Muy Alta",'Mapa de Riesgos de Corrupción'!#REF!="Catastrófico"),CONCATENATE("R8C",'Mapa de Riesgos de Corrupción'!#REF!),"")</f>
        <v>#REF!</v>
      </c>
      <c r="AL13" s="171" t="e">
        <f>IF(AND('Mapa de Riesgos de Corrupción'!#REF!="Muy Alta",'Mapa de Riesgos de Corrupción'!#REF!="Catastrófico"),CONCATENATE("R8C",'Mapa de Riesgos de Corrupción'!#REF!),"")</f>
        <v>#REF!</v>
      </c>
      <c r="AM13" s="172" t="e">
        <f>IF(AND('Mapa de Riesgos de Corrupción'!#REF!="Muy Alta",'Mapa de Riesgos de Corrupción'!#REF!="Catastrófico"),CONCATENATE("R8C",'Mapa de Riesgos de Corrupción'!#REF!),"")</f>
        <v>#REF!</v>
      </c>
      <c r="AN13" s="122"/>
      <c r="AO13" s="312"/>
      <c r="AP13" s="224"/>
      <c r="AQ13" s="224"/>
      <c r="AR13" s="224"/>
      <c r="AS13" s="224"/>
      <c r="AT13" s="313"/>
      <c r="AU13" s="122"/>
      <c r="AV13" s="122"/>
      <c r="AW13" s="122"/>
      <c r="AX13" s="122"/>
      <c r="AY13" s="122"/>
      <c r="AZ13" s="122"/>
      <c r="BA13" s="122"/>
      <c r="BB13" s="122"/>
      <c r="BC13" s="122"/>
      <c r="BD13" s="122"/>
      <c r="BE13" s="122"/>
      <c r="BF13" s="122"/>
      <c r="BG13" s="122"/>
      <c r="BH13" s="122"/>
      <c r="BI13" s="122"/>
    </row>
    <row r="14" spans="1:61" ht="15" customHeight="1">
      <c r="A14" s="122"/>
      <c r="B14" s="293"/>
      <c r="C14" s="224"/>
      <c r="D14" s="265"/>
      <c r="E14" s="223"/>
      <c r="F14" s="224"/>
      <c r="G14" s="224"/>
      <c r="H14" s="224"/>
      <c r="I14" s="265"/>
      <c r="J14" s="167" t="e">
        <f>IF(AND('Mapa de Riesgos de Corrupción'!#REF!="Muy Alta",'Mapa de Riesgos de Corrupción'!#REF!="Leve"),CONCATENATE("R9C",'Mapa de Riesgos de Corrupción'!#REF!),"")</f>
        <v>#REF!</v>
      </c>
      <c r="K14" s="168" t="e">
        <f>IF(AND('Mapa de Riesgos de Corrupción'!#REF!="Muy Alta",'Mapa de Riesgos de Corrupción'!#REF!="Leve"),CONCATENATE("R9C",'Mapa de Riesgos de Corrupción'!#REF!),"")</f>
        <v>#REF!</v>
      </c>
      <c r="L14" s="168" t="e">
        <f>IF(AND('Mapa de Riesgos de Corrupción'!#REF!="Muy Alta",'Mapa de Riesgos de Corrupción'!#REF!="Leve"),CONCATENATE("R9C",'Mapa de Riesgos de Corrupción'!#REF!),"")</f>
        <v>#REF!</v>
      </c>
      <c r="M14" s="168" t="e">
        <f>IF(AND('Mapa de Riesgos de Corrupción'!#REF!="Muy Alta",'Mapa de Riesgos de Corrupción'!#REF!="Leve"),CONCATENATE("R9C",'Mapa de Riesgos de Corrupción'!#REF!),"")</f>
        <v>#REF!</v>
      </c>
      <c r="N14" s="168" t="e">
        <f>IF(AND('Mapa de Riesgos de Corrupción'!#REF!="Muy Alta",'Mapa de Riesgos de Corrupción'!#REF!="Leve"),CONCATENATE("R9C",'Mapa de Riesgos de Corrupción'!#REF!),"")</f>
        <v>#REF!</v>
      </c>
      <c r="O14" s="169" t="e">
        <f>IF(AND('Mapa de Riesgos de Corrupción'!#REF!="Muy Alta",'Mapa de Riesgos de Corrupción'!#REF!="Leve"),CONCATENATE("R9C",'Mapa de Riesgos de Corrupción'!#REF!),"")</f>
        <v>#REF!</v>
      </c>
      <c r="P14" s="167" t="e">
        <f>IF(AND('Mapa de Riesgos de Corrupción'!#REF!="Muy Alta",'Mapa de Riesgos de Corrupción'!#REF!="Menor"),CONCATENATE("R9C",'Mapa de Riesgos de Corrupción'!#REF!),"")</f>
        <v>#REF!</v>
      </c>
      <c r="Q14" s="168" t="e">
        <f>IF(AND('Mapa de Riesgos de Corrupción'!#REF!="Muy Alta",'Mapa de Riesgos de Corrupción'!#REF!="Menor"),CONCATENATE("R9C",'Mapa de Riesgos de Corrupción'!#REF!),"")</f>
        <v>#REF!</v>
      </c>
      <c r="R14" s="168" t="e">
        <f>IF(AND('Mapa de Riesgos de Corrupción'!#REF!="Muy Alta",'Mapa de Riesgos de Corrupción'!#REF!="Menor"),CONCATENATE("R9C",'Mapa de Riesgos de Corrupción'!#REF!),"")</f>
        <v>#REF!</v>
      </c>
      <c r="S14" s="168" t="e">
        <f>IF(AND('Mapa de Riesgos de Corrupción'!#REF!="Muy Alta",'Mapa de Riesgos de Corrupción'!#REF!="Menor"),CONCATENATE("R9C",'Mapa de Riesgos de Corrupción'!#REF!),"")</f>
        <v>#REF!</v>
      </c>
      <c r="T14" s="168" t="e">
        <f>IF(AND('Mapa de Riesgos de Corrupción'!#REF!="Muy Alta",'Mapa de Riesgos de Corrupción'!#REF!="Menor"),CONCATENATE("R9C",'Mapa de Riesgos de Corrupción'!#REF!),"")</f>
        <v>#REF!</v>
      </c>
      <c r="U14" s="169" t="e">
        <f>IF(AND('Mapa de Riesgos de Corrupción'!#REF!="Muy Alta",'Mapa de Riesgos de Corrupción'!#REF!="Menor"),CONCATENATE("R9C",'Mapa de Riesgos de Corrupción'!#REF!),"")</f>
        <v>#REF!</v>
      </c>
      <c r="V14" s="167" t="e">
        <f>IF(AND('Mapa de Riesgos de Corrupción'!#REF!="Muy Alta",'Mapa de Riesgos de Corrupción'!#REF!="Moderado"),CONCATENATE("R9C",'Mapa de Riesgos de Corrupción'!#REF!),"")</f>
        <v>#REF!</v>
      </c>
      <c r="W14" s="168" t="e">
        <f>IF(AND('Mapa de Riesgos de Corrupción'!#REF!="Muy Alta",'Mapa de Riesgos de Corrupción'!#REF!="Moderado"),CONCATENATE("R9C",'Mapa de Riesgos de Corrupción'!#REF!),"")</f>
        <v>#REF!</v>
      </c>
      <c r="X14" s="168" t="e">
        <f>IF(AND('Mapa de Riesgos de Corrupción'!#REF!="Muy Alta",'Mapa de Riesgos de Corrupción'!#REF!="Moderado"),CONCATENATE("R9C",'Mapa de Riesgos de Corrupción'!#REF!),"")</f>
        <v>#REF!</v>
      </c>
      <c r="Y14" s="168" t="e">
        <f>IF(AND('Mapa de Riesgos de Corrupción'!#REF!="Muy Alta",'Mapa de Riesgos de Corrupción'!#REF!="Moderado"),CONCATENATE("R9C",'Mapa de Riesgos de Corrupción'!#REF!),"")</f>
        <v>#REF!</v>
      </c>
      <c r="Z14" s="168" t="e">
        <f>IF(AND('Mapa de Riesgos de Corrupción'!#REF!="Muy Alta",'Mapa de Riesgos de Corrupción'!#REF!="Moderado"),CONCATENATE("R9C",'Mapa de Riesgos de Corrupción'!#REF!),"")</f>
        <v>#REF!</v>
      </c>
      <c r="AA14" s="169" t="e">
        <f>IF(AND('Mapa de Riesgos de Corrupción'!#REF!="Muy Alta",'Mapa de Riesgos de Corrupción'!#REF!="Moderado"),CONCATENATE("R9C",'Mapa de Riesgos de Corrupción'!#REF!),"")</f>
        <v>#REF!</v>
      </c>
      <c r="AB14" s="167" t="e">
        <f>IF(AND('Mapa de Riesgos de Corrupción'!#REF!="Muy Alta",'Mapa de Riesgos de Corrupción'!#REF!="Mayor"),CONCATENATE("R9C",'Mapa de Riesgos de Corrupción'!#REF!),"")</f>
        <v>#REF!</v>
      </c>
      <c r="AC14" s="168" t="e">
        <f>IF(AND('Mapa de Riesgos de Corrupción'!#REF!="Muy Alta",'Mapa de Riesgos de Corrupción'!#REF!="Mayor"),CONCATENATE("R9C",'Mapa de Riesgos de Corrupción'!#REF!),"")</f>
        <v>#REF!</v>
      </c>
      <c r="AD14" s="168" t="e">
        <f>IF(AND('Mapa de Riesgos de Corrupción'!#REF!="Muy Alta",'Mapa de Riesgos de Corrupción'!#REF!="Mayor"),CONCATENATE("R9C",'Mapa de Riesgos de Corrupción'!#REF!),"")</f>
        <v>#REF!</v>
      </c>
      <c r="AE14" s="168" t="e">
        <f>IF(AND('Mapa de Riesgos de Corrupción'!#REF!="Muy Alta",'Mapa de Riesgos de Corrupción'!#REF!="Mayor"),CONCATENATE("R9C",'Mapa de Riesgos de Corrupción'!#REF!),"")</f>
        <v>#REF!</v>
      </c>
      <c r="AF14" s="168" t="e">
        <f>IF(AND('Mapa de Riesgos de Corrupción'!#REF!="Muy Alta",'Mapa de Riesgos de Corrupción'!#REF!="Mayor"),CONCATENATE("R9C",'Mapa de Riesgos de Corrupción'!#REF!),"")</f>
        <v>#REF!</v>
      </c>
      <c r="AG14" s="169" t="e">
        <f>IF(AND('Mapa de Riesgos de Corrupción'!#REF!="Muy Alta",'Mapa de Riesgos de Corrupción'!#REF!="Mayor"),CONCATENATE("R9C",'Mapa de Riesgos de Corrupción'!#REF!),"")</f>
        <v>#REF!</v>
      </c>
      <c r="AH14" s="170" t="e">
        <f>IF(AND('Mapa de Riesgos de Corrupción'!#REF!="Muy Alta",'Mapa de Riesgos de Corrupción'!#REF!="Catastrófico"),CONCATENATE("R9C",'Mapa de Riesgos de Corrupción'!#REF!),"")</f>
        <v>#REF!</v>
      </c>
      <c r="AI14" s="171" t="e">
        <f>IF(AND('Mapa de Riesgos de Corrupción'!#REF!="Muy Alta",'Mapa de Riesgos de Corrupción'!#REF!="Catastrófico"),CONCATENATE("R9C",'Mapa de Riesgos de Corrupción'!#REF!),"")</f>
        <v>#REF!</v>
      </c>
      <c r="AJ14" s="171" t="e">
        <f>IF(AND('Mapa de Riesgos de Corrupción'!#REF!="Muy Alta",'Mapa de Riesgos de Corrupción'!#REF!="Catastrófico"),CONCATENATE("R9C",'Mapa de Riesgos de Corrupción'!#REF!),"")</f>
        <v>#REF!</v>
      </c>
      <c r="AK14" s="171" t="e">
        <f>IF(AND('Mapa de Riesgos de Corrupción'!#REF!="Muy Alta",'Mapa de Riesgos de Corrupción'!#REF!="Catastrófico"),CONCATENATE("R9C",'Mapa de Riesgos de Corrupción'!#REF!),"")</f>
        <v>#REF!</v>
      </c>
      <c r="AL14" s="171" t="e">
        <f>IF(AND('Mapa de Riesgos de Corrupción'!#REF!="Muy Alta",'Mapa de Riesgos de Corrupción'!#REF!="Catastrófico"),CONCATENATE("R9C",'Mapa de Riesgos de Corrupción'!#REF!),"")</f>
        <v>#REF!</v>
      </c>
      <c r="AM14" s="172" t="e">
        <f>IF(AND('Mapa de Riesgos de Corrupción'!#REF!="Muy Alta",'Mapa de Riesgos de Corrupción'!#REF!="Catastrófico"),CONCATENATE("R9C",'Mapa de Riesgos de Corrupción'!#REF!),"")</f>
        <v>#REF!</v>
      </c>
      <c r="AN14" s="122"/>
      <c r="AO14" s="312"/>
      <c r="AP14" s="224"/>
      <c r="AQ14" s="224"/>
      <c r="AR14" s="224"/>
      <c r="AS14" s="224"/>
      <c r="AT14" s="313"/>
      <c r="AU14" s="122"/>
      <c r="AV14" s="122"/>
      <c r="AW14" s="122"/>
      <c r="AX14" s="122"/>
      <c r="AY14" s="122"/>
      <c r="AZ14" s="122"/>
      <c r="BA14" s="122"/>
      <c r="BB14" s="122"/>
      <c r="BC14" s="122"/>
      <c r="BD14" s="122"/>
      <c r="BE14" s="122"/>
      <c r="BF14" s="122"/>
      <c r="BG14" s="122"/>
      <c r="BH14" s="122"/>
      <c r="BI14" s="122"/>
    </row>
    <row r="15" spans="1:61" ht="15.75" customHeight="1">
      <c r="A15" s="122"/>
      <c r="B15" s="293"/>
      <c r="C15" s="224"/>
      <c r="D15" s="265"/>
      <c r="E15" s="225"/>
      <c r="F15" s="226"/>
      <c r="G15" s="226"/>
      <c r="H15" s="226"/>
      <c r="I15" s="301"/>
      <c r="J15" s="173" t="e">
        <f>IF(AND('Mapa de Riesgos de Corrupción'!#REF!="Muy Alta",'Mapa de Riesgos de Corrupción'!#REF!="Leve"),CONCATENATE("R10C",'Mapa de Riesgos de Corrupción'!#REF!),"")</f>
        <v>#REF!</v>
      </c>
      <c r="K15" s="174" t="e">
        <f>IF(AND('Mapa de Riesgos de Corrupción'!#REF!="Muy Alta",'Mapa de Riesgos de Corrupción'!#REF!="Leve"),CONCATENATE("R10C",'Mapa de Riesgos de Corrupción'!#REF!),"")</f>
        <v>#REF!</v>
      </c>
      <c r="L15" s="174" t="e">
        <f>IF(AND('Mapa de Riesgos de Corrupción'!#REF!="Muy Alta",'Mapa de Riesgos de Corrupción'!#REF!="Leve"),CONCATENATE("R10C",'Mapa de Riesgos de Corrupción'!#REF!),"")</f>
        <v>#REF!</v>
      </c>
      <c r="M15" s="174" t="e">
        <f>IF(AND('Mapa de Riesgos de Corrupción'!#REF!="Muy Alta",'Mapa de Riesgos de Corrupción'!#REF!="Leve"),CONCATENATE("R10C",'Mapa de Riesgos de Corrupción'!#REF!),"")</f>
        <v>#REF!</v>
      </c>
      <c r="N15" s="174" t="e">
        <f>IF(AND('Mapa de Riesgos de Corrupción'!#REF!="Muy Alta",'Mapa de Riesgos de Corrupción'!#REF!="Leve"),CONCATENATE("R10C",'Mapa de Riesgos de Corrupción'!#REF!),"")</f>
        <v>#REF!</v>
      </c>
      <c r="O15" s="175" t="e">
        <f>IF(AND('Mapa de Riesgos de Corrupción'!#REF!="Muy Alta",'Mapa de Riesgos de Corrupción'!#REF!="Leve"),CONCATENATE("R10C",'Mapa de Riesgos de Corrupción'!#REF!),"")</f>
        <v>#REF!</v>
      </c>
      <c r="P15" s="167" t="e">
        <f>IF(AND('Mapa de Riesgos de Corrupción'!#REF!="Muy Alta",'Mapa de Riesgos de Corrupción'!#REF!="Menor"),CONCATENATE("R10C",'Mapa de Riesgos de Corrupción'!#REF!),"")</f>
        <v>#REF!</v>
      </c>
      <c r="Q15" s="168" t="e">
        <f>IF(AND('Mapa de Riesgos de Corrupción'!#REF!="Muy Alta",'Mapa de Riesgos de Corrupción'!#REF!="Menor"),CONCATENATE("R10C",'Mapa de Riesgos de Corrupción'!#REF!),"")</f>
        <v>#REF!</v>
      </c>
      <c r="R15" s="168" t="e">
        <f>IF(AND('Mapa de Riesgos de Corrupción'!#REF!="Muy Alta",'Mapa de Riesgos de Corrupción'!#REF!="Menor"),CONCATENATE("R10C",'Mapa de Riesgos de Corrupción'!#REF!),"")</f>
        <v>#REF!</v>
      </c>
      <c r="S15" s="168" t="e">
        <f>IF(AND('Mapa de Riesgos de Corrupción'!#REF!="Muy Alta",'Mapa de Riesgos de Corrupción'!#REF!="Menor"),CONCATENATE("R10C",'Mapa de Riesgos de Corrupción'!#REF!),"")</f>
        <v>#REF!</v>
      </c>
      <c r="T15" s="168" t="e">
        <f>IF(AND('Mapa de Riesgos de Corrupción'!#REF!="Muy Alta",'Mapa de Riesgos de Corrupción'!#REF!="Menor"),CONCATENATE("R10C",'Mapa de Riesgos de Corrupción'!#REF!),"")</f>
        <v>#REF!</v>
      </c>
      <c r="U15" s="169" t="e">
        <f>IF(AND('Mapa de Riesgos de Corrupción'!#REF!="Muy Alta",'Mapa de Riesgos de Corrupción'!#REF!="Menor"),CONCATENATE("R10C",'Mapa de Riesgos de Corrupción'!#REF!),"")</f>
        <v>#REF!</v>
      </c>
      <c r="V15" s="173" t="e">
        <f>IF(AND('Mapa de Riesgos de Corrupción'!#REF!="Muy Alta",'Mapa de Riesgos de Corrupción'!#REF!="Moderado"),CONCATENATE("R10C",'Mapa de Riesgos de Corrupción'!#REF!),"")</f>
        <v>#REF!</v>
      </c>
      <c r="W15" s="174" t="e">
        <f>IF(AND('Mapa de Riesgos de Corrupción'!#REF!="Muy Alta",'Mapa de Riesgos de Corrupción'!#REF!="Moderado"),CONCATENATE("R10C",'Mapa de Riesgos de Corrupción'!#REF!),"")</f>
        <v>#REF!</v>
      </c>
      <c r="X15" s="174" t="e">
        <f>IF(AND('Mapa de Riesgos de Corrupción'!#REF!="Muy Alta",'Mapa de Riesgos de Corrupción'!#REF!="Moderado"),CONCATENATE("R10C",'Mapa de Riesgos de Corrupción'!#REF!),"")</f>
        <v>#REF!</v>
      </c>
      <c r="Y15" s="174" t="e">
        <f>IF(AND('Mapa de Riesgos de Corrupción'!#REF!="Muy Alta",'Mapa de Riesgos de Corrupción'!#REF!="Moderado"),CONCATENATE("R10C",'Mapa de Riesgos de Corrupción'!#REF!),"")</f>
        <v>#REF!</v>
      </c>
      <c r="Z15" s="174" t="e">
        <f>IF(AND('Mapa de Riesgos de Corrupción'!#REF!="Muy Alta",'Mapa de Riesgos de Corrupción'!#REF!="Moderado"),CONCATENATE("R10C",'Mapa de Riesgos de Corrupción'!#REF!),"")</f>
        <v>#REF!</v>
      </c>
      <c r="AA15" s="175" t="e">
        <f>IF(AND('Mapa de Riesgos de Corrupción'!#REF!="Muy Alta",'Mapa de Riesgos de Corrupción'!#REF!="Moderado"),CONCATENATE("R10C",'Mapa de Riesgos de Corrupción'!#REF!),"")</f>
        <v>#REF!</v>
      </c>
      <c r="AB15" s="167" t="e">
        <f>IF(AND('Mapa de Riesgos de Corrupción'!#REF!="Muy Alta",'Mapa de Riesgos de Corrupción'!#REF!="Mayor"),CONCATENATE("R10C",'Mapa de Riesgos de Corrupción'!#REF!),"")</f>
        <v>#REF!</v>
      </c>
      <c r="AC15" s="168" t="e">
        <f>IF(AND('Mapa de Riesgos de Corrupción'!#REF!="Muy Alta",'Mapa de Riesgos de Corrupción'!#REF!="Mayor"),CONCATENATE("R10C",'Mapa de Riesgos de Corrupción'!#REF!),"")</f>
        <v>#REF!</v>
      </c>
      <c r="AD15" s="168" t="e">
        <f>IF(AND('Mapa de Riesgos de Corrupción'!#REF!="Muy Alta",'Mapa de Riesgos de Corrupción'!#REF!="Mayor"),CONCATENATE("R10C",'Mapa de Riesgos de Corrupción'!#REF!),"")</f>
        <v>#REF!</v>
      </c>
      <c r="AE15" s="168" t="e">
        <f>IF(AND('Mapa de Riesgos de Corrupción'!#REF!="Muy Alta",'Mapa de Riesgos de Corrupción'!#REF!="Mayor"),CONCATENATE("R10C",'Mapa de Riesgos de Corrupción'!#REF!),"")</f>
        <v>#REF!</v>
      </c>
      <c r="AF15" s="168" t="e">
        <f>IF(AND('Mapa de Riesgos de Corrupción'!#REF!="Muy Alta",'Mapa de Riesgos de Corrupción'!#REF!="Mayor"),CONCATENATE("R10C",'Mapa de Riesgos de Corrupción'!#REF!),"")</f>
        <v>#REF!</v>
      </c>
      <c r="AG15" s="169" t="e">
        <f>IF(AND('Mapa de Riesgos de Corrupción'!#REF!="Muy Alta",'Mapa de Riesgos de Corrupción'!#REF!="Mayor"),CONCATENATE("R10C",'Mapa de Riesgos de Corrupción'!#REF!),"")</f>
        <v>#REF!</v>
      </c>
      <c r="AH15" s="176" t="e">
        <f>IF(AND('Mapa de Riesgos de Corrupción'!#REF!="Muy Alta",'Mapa de Riesgos de Corrupción'!#REF!="Catastrófico"),CONCATENATE("R10C",'Mapa de Riesgos de Corrupción'!#REF!),"")</f>
        <v>#REF!</v>
      </c>
      <c r="AI15" s="177" t="e">
        <f>IF(AND('Mapa de Riesgos de Corrupción'!#REF!="Muy Alta",'Mapa de Riesgos de Corrupción'!#REF!="Catastrófico"),CONCATENATE("R10C",'Mapa de Riesgos de Corrupción'!#REF!),"")</f>
        <v>#REF!</v>
      </c>
      <c r="AJ15" s="177" t="e">
        <f>IF(AND('Mapa de Riesgos de Corrupción'!#REF!="Muy Alta",'Mapa de Riesgos de Corrupción'!#REF!="Catastrófico"),CONCATENATE("R10C",'Mapa de Riesgos de Corrupción'!#REF!),"")</f>
        <v>#REF!</v>
      </c>
      <c r="AK15" s="177" t="e">
        <f>IF(AND('Mapa de Riesgos de Corrupción'!#REF!="Muy Alta",'Mapa de Riesgos de Corrupción'!#REF!="Catastrófico"),CONCATENATE("R10C",'Mapa de Riesgos de Corrupción'!#REF!),"")</f>
        <v>#REF!</v>
      </c>
      <c r="AL15" s="177" t="e">
        <f>IF(AND('Mapa de Riesgos de Corrupción'!#REF!="Muy Alta",'Mapa de Riesgos de Corrupción'!#REF!="Catastrófico"),CONCATENATE("R10C",'Mapa de Riesgos de Corrupción'!#REF!),"")</f>
        <v>#REF!</v>
      </c>
      <c r="AM15" s="178" t="e">
        <f>IF(AND('Mapa de Riesgos de Corrupción'!#REF!="Muy Alta",'Mapa de Riesgos de Corrupción'!#REF!="Catastrófico"),CONCATENATE("R10C",'Mapa de Riesgos de Corrupción'!#REF!),"")</f>
        <v>#REF!</v>
      </c>
      <c r="AN15" s="122"/>
      <c r="AO15" s="314"/>
      <c r="AP15" s="315"/>
      <c r="AQ15" s="315"/>
      <c r="AR15" s="315"/>
      <c r="AS15" s="315"/>
      <c r="AT15" s="316"/>
      <c r="AU15" s="122"/>
      <c r="AV15" s="122"/>
      <c r="AW15" s="122"/>
      <c r="AX15" s="122"/>
      <c r="AY15" s="122"/>
      <c r="AZ15" s="122"/>
      <c r="BA15" s="122"/>
      <c r="BB15" s="122"/>
      <c r="BC15" s="122"/>
      <c r="BD15" s="122"/>
      <c r="BE15" s="122"/>
      <c r="BF15" s="122"/>
      <c r="BG15" s="122"/>
      <c r="BH15" s="122"/>
      <c r="BI15" s="122"/>
    </row>
    <row r="16" spans="1:61" ht="15" customHeight="1">
      <c r="A16" s="122"/>
      <c r="B16" s="293"/>
      <c r="C16" s="224"/>
      <c r="D16" s="265"/>
      <c r="E16" s="335" t="s">
        <v>502</v>
      </c>
      <c r="F16" s="222"/>
      <c r="G16" s="222"/>
      <c r="H16" s="222"/>
      <c r="I16" s="222"/>
      <c r="J16" s="179" t="e">
        <f>IF(AND('Mapa de Riesgos de Corrupción'!#REF!="Alta",'Mapa de Riesgos de Corrupción'!#REF!="Leve"),CONCATENATE("R1C",'Mapa de Riesgos de Corrupción'!#REF!),"")</f>
        <v>#REF!</v>
      </c>
      <c r="K16" s="180" t="e">
        <f>IF(AND('Mapa de Riesgos de Corrupción'!#REF!="Alta",'Mapa de Riesgos de Corrupción'!#REF!="Leve"),CONCATENATE("R1C",'Mapa de Riesgos de Corrupción'!#REF!),"")</f>
        <v>#REF!</v>
      </c>
      <c r="L16" s="180" t="e">
        <f>IF(AND('Mapa de Riesgos de Corrupción'!#REF!="Alta",'Mapa de Riesgos de Corrupción'!#REF!="Leve"),CONCATENATE("R1C",'Mapa de Riesgos de Corrupción'!#REF!),"")</f>
        <v>#REF!</v>
      </c>
      <c r="M16" s="180" t="e">
        <f>IF(AND('Mapa de Riesgos de Corrupción'!#REF!="Alta",'Mapa de Riesgos de Corrupción'!#REF!="Leve"),CONCATENATE("R1C",'Mapa de Riesgos de Corrupción'!#REF!),"")</f>
        <v>#REF!</v>
      </c>
      <c r="N16" s="180" t="str">
        <f ca="1">IF(AND('Mapa de Riesgos de Corrupción'!$AC$8="Alta",'Mapa de Riesgos de Corrupción'!$AE$8="Leve"),CONCATENATE("R1C",'Mapa de Riesgos de Corrupción'!$R$8),"")</f>
        <v/>
      </c>
      <c r="O16" s="181" t="str">
        <f ca="1">IF(AND('Mapa de Riesgos de Corrupción'!$AC$9="Alta",'Mapa de Riesgos de Corrupción'!$AE$9="Leve"),CONCATENATE("R1C",'Mapa de Riesgos de Corrupción'!$R$9),"")</f>
        <v/>
      </c>
      <c r="P16" s="179" t="e">
        <f>IF(AND('Mapa de Riesgos de Corrupción'!#REF!="Alta",'Mapa de Riesgos de Corrupción'!#REF!="Menor"),CONCATENATE("R1C",'Mapa de Riesgos de Corrupción'!#REF!),"")</f>
        <v>#REF!</v>
      </c>
      <c r="Q16" s="180" t="e">
        <f>IF(AND('Mapa de Riesgos de Corrupción'!#REF!="Alta",'Mapa de Riesgos de Corrupción'!#REF!="Menor"),CONCATENATE("R1C",'Mapa de Riesgos de Corrupción'!#REF!),"")</f>
        <v>#REF!</v>
      </c>
      <c r="R16" s="180" t="e">
        <f>IF(AND('Mapa de Riesgos de Corrupción'!#REF!="Alta",'Mapa de Riesgos de Corrupción'!#REF!="Menor"),CONCATENATE("R1C",'Mapa de Riesgos de Corrupción'!#REF!),"")</f>
        <v>#REF!</v>
      </c>
      <c r="S16" s="180" t="e">
        <f>IF(AND('Mapa de Riesgos de Corrupción'!#REF!="Alta",'Mapa de Riesgos de Corrupción'!#REF!="Menor"),CONCATENATE("R1C",'Mapa de Riesgos de Corrupción'!#REF!),"")</f>
        <v>#REF!</v>
      </c>
      <c r="T16" s="180" t="str">
        <f ca="1">IF(AND('Mapa de Riesgos de Corrupción'!$AC$8="Alta",'Mapa de Riesgos de Corrupción'!$AE$8="Menor"),CONCATENATE("R1C",'Mapa de Riesgos de Corrupción'!$R$8),"")</f>
        <v/>
      </c>
      <c r="U16" s="181" t="str">
        <f ca="1">IF(AND('Mapa de Riesgos de Corrupción'!$AC$9="Alta",'Mapa de Riesgos de Corrupción'!$AE$9="Menor"),CONCATENATE("R1C",'Mapa de Riesgos de Corrupción'!$R$9),"")</f>
        <v/>
      </c>
      <c r="V16" s="161" t="e">
        <f>IF(AND('Mapa de Riesgos de Corrupción'!#REF!="Alta",'Mapa de Riesgos de Corrupción'!#REF!="Moderado"),CONCATENATE("R1C",'Mapa de Riesgos de Corrupción'!#REF!),"")</f>
        <v>#REF!</v>
      </c>
      <c r="W16" s="162" t="e">
        <f>IF(AND('Mapa de Riesgos de Corrupción'!#REF!="Alta",'Mapa de Riesgos de Corrupción'!#REF!="Moderado"),CONCATENATE("R1C",'Mapa de Riesgos de Corrupción'!#REF!),"")</f>
        <v>#REF!</v>
      </c>
      <c r="X16" s="162" t="e">
        <f>IF(AND('Mapa de Riesgos de Corrupción'!#REF!="Alta",'Mapa de Riesgos de Corrupción'!#REF!="Moderado"),CONCATENATE("R1C",'Mapa de Riesgos de Corrupción'!#REF!),"")</f>
        <v>#REF!</v>
      </c>
      <c r="Y16" s="162" t="e">
        <f>IF(AND('Mapa de Riesgos de Corrupción'!#REF!="Alta",'Mapa de Riesgos de Corrupción'!#REF!="Moderado"),CONCATENATE("R1C",'Mapa de Riesgos de Corrupción'!#REF!),"")</f>
        <v>#REF!</v>
      </c>
      <c r="Z16" s="162" t="str">
        <f ca="1">IF(AND('Mapa de Riesgos de Corrupción'!$AC$8="Alta",'Mapa de Riesgos de Corrupción'!$AE$8="Moderado"),CONCATENATE("R1C",'Mapa de Riesgos de Corrupción'!$R$8),"")</f>
        <v/>
      </c>
      <c r="AA16" s="163" t="str">
        <f ca="1">IF(AND('Mapa de Riesgos de Corrupción'!$AC$9="Alta",'Mapa de Riesgos de Corrupción'!$AE$9="Moderado"),CONCATENATE("R1C",'Mapa de Riesgos de Corrupción'!$R$9),"")</f>
        <v/>
      </c>
      <c r="AB16" s="161" t="e">
        <f>IF(AND('Mapa de Riesgos de Corrupción'!#REF!="Alta",'Mapa de Riesgos de Corrupción'!#REF!="Mayor"),CONCATENATE("R1C",'Mapa de Riesgos de Corrupción'!#REF!),"")</f>
        <v>#REF!</v>
      </c>
      <c r="AC16" s="162" t="e">
        <f>IF(AND('Mapa de Riesgos de Corrupción'!#REF!="Alta",'Mapa de Riesgos de Corrupción'!#REF!="Mayor"),CONCATENATE("R1C",'Mapa de Riesgos de Corrupción'!#REF!),"")</f>
        <v>#REF!</v>
      </c>
      <c r="AD16" s="162" t="e">
        <f>IF(AND('Mapa de Riesgos de Corrupción'!#REF!="Alta",'Mapa de Riesgos de Corrupción'!#REF!="Mayor"),CONCATENATE("R1C",'Mapa de Riesgos de Corrupción'!#REF!),"")</f>
        <v>#REF!</v>
      </c>
      <c r="AE16" s="162" t="e">
        <f>IF(AND('Mapa de Riesgos de Corrupción'!#REF!="Alta",'Mapa de Riesgos de Corrupción'!#REF!="Mayor"),CONCATENATE("R1C",'Mapa de Riesgos de Corrupción'!#REF!),"")</f>
        <v>#REF!</v>
      </c>
      <c r="AF16" s="162" t="str">
        <f ca="1">IF(AND('Mapa de Riesgos de Corrupción'!$AC$8="Alta",'Mapa de Riesgos de Corrupción'!$AE$8="Mayor"),CONCATENATE("R1C",'Mapa de Riesgos de Corrupción'!$R$8),"")</f>
        <v/>
      </c>
      <c r="AG16" s="163" t="str">
        <f ca="1">IF(AND('Mapa de Riesgos de Corrupción'!$AC$9="Alta",'Mapa de Riesgos de Corrupción'!$AE$9="Mayor"),CONCATENATE("R1C",'Mapa de Riesgos de Corrupción'!$R$9),"")</f>
        <v/>
      </c>
      <c r="AH16" s="164" t="e">
        <f>IF(AND('Mapa de Riesgos de Corrupción'!#REF!="Alta",'Mapa de Riesgos de Corrupción'!#REF!="Catastrófico"),CONCATENATE("R1C",'Mapa de Riesgos de Corrupción'!#REF!),"")</f>
        <v>#REF!</v>
      </c>
      <c r="AI16" s="165" t="e">
        <f>IF(AND('Mapa de Riesgos de Corrupción'!#REF!="Alta",'Mapa de Riesgos de Corrupción'!#REF!="Catastrófico"),CONCATENATE("R1C",'Mapa de Riesgos de Corrupción'!#REF!),"")</f>
        <v>#REF!</v>
      </c>
      <c r="AJ16" s="165" t="e">
        <f>IF(AND('Mapa de Riesgos de Corrupción'!#REF!="Alta",'Mapa de Riesgos de Corrupción'!#REF!="Catastrófico"),CONCATENATE("R1C",'Mapa de Riesgos de Corrupción'!#REF!),"")</f>
        <v>#REF!</v>
      </c>
      <c r="AK16" s="165" t="e">
        <f>IF(AND('Mapa de Riesgos de Corrupción'!#REF!="Alta",'Mapa de Riesgos de Corrupción'!#REF!="Catastrófico"),CONCATENATE("R1C",'Mapa de Riesgos de Corrupción'!#REF!),"")</f>
        <v>#REF!</v>
      </c>
      <c r="AL16" s="165" t="str">
        <f ca="1">IF(AND('Mapa de Riesgos de Corrupción'!$AC$8="Alta",'Mapa de Riesgos de Corrupción'!$AE$8="Catastrófico"),CONCATENATE("R1C",'Mapa de Riesgos de Corrupción'!$R$8),"")</f>
        <v/>
      </c>
      <c r="AM16" s="166" t="str">
        <f ca="1">IF(AND('Mapa de Riesgos de Corrupción'!$AC$9="Alta",'Mapa de Riesgos de Corrupción'!$AE$9="Catastrófico"),CONCATENATE("R1C",'Mapa de Riesgos de Corrupción'!$R$9),"")</f>
        <v/>
      </c>
      <c r="AN16" s="122"/>
      <c r="AO16" s="331" t="s">
        <v>503</v>
      </c>
      <c r="AP16" s="310"/>
      <c r="AQ16" s="310"/>
      <c r="AR16" s="310"/>
      <c r="AS16" s="310"/>
      <c r="AT16" s="311"/>
      <c r="AU16" s="122"/>
      <c r="AV16" s="122"/>
      <c r="AW16" s="122"/>
      <c r="AX16" s="122"/>
      <c r="AY16" s="122"/>
      <c r="AZ16" s="122"/>
      <c r="BA16" s="122"/>
      <c r="BB16" s="122"/>
      <c r="BC16" s="122"/>
      <c r="BD16" s="122"/>
      <c r="BE16" s="122"/>
      <c r="BF16" s="122"/>
      <c r="BG16" s="122"/>
      <c r="BH16" s="122"/>
      <c r="BI16" s="122"/>
    </row>
    <row r="17" spans="1:61" ht="15" customHeight="1">
      <c r="A17" s="122"/>
      <c r="B17" s="293"/>
      <c r="C17" s="224"/>
      <c r="D17" s="265"/>
      <c r="E17" s="223"/>
      <c r="F17" s="224"/>
      <c r="G17" s="224"/>
      <c r="H17" s="224"/>
      <c r="I17" s="224"/>
      <c r="J17" s="182" t="e">
        <f>IF(AND('Mapa de Riesgos de Corrupción'!#REF!="Alta",'Mapa de Riesgos de Corrupción'!#REF!="Leve"),CONCATENATE("R2C",'Mapa de Riesgos de Corrupción'!#REF!),"")</f>
        <v>#REF!</v>
      </c>
      <c r="K17" s="183" t="e">
        <f>IF(AND('Mapa de Riesgos de Corrupción'!#REF!="Alta",'Mapa de Riesgos de Corrupción'!#REF!="Leve"),CONCATENATE("R2C",'Mapa de Riesgos de Corrupción'!#REF!),"")</f>
        <v>#REF!</v>
      </c>
      <c r="L17" s="183" t="e">
        <f>IF(AND('Mapa de Riesgos de Corrupción'!#REF!="Alta",'Mapa de Riesgos de Corrupción'!#REF!="Leve"),CONCATENATE("R2C",'Mapa de Riesgos de Corrupción'!#REF!),"")</f>
        <v>#REF!</v>
      </c>
      <c r="M17" s="183" t="e">
        <f>IF(AND('Mapa de Riesgos de Corrupción'!#REF!="Alta",'Mapa de Riesgos de Corrupción'!#REF!="Leve"),CONCATENATE("R2C",'Mapa de Riesgos de Corrupción'!#REF!),"")</f>
        <v>#REF!</v>
      </c>
      <c r="N17" s="183" t="e">
        <f>IF(AND('Mapa de Riesgos de Corrupción'!#REF!="Alta",'Mapa de Riesgos de Corrupción'!#REF!="Leve"),CONCATENATE("R2C",'Mapa de Riesgos de Corrupción'!#REF!),"")</f>
        <v>#REF!</v>
      </c>
      <c r="O17" s="184" t="str">
        <f ca="1">IF(AND('Mapa de Riesgos de Corrupción'!$AC$10="Alta",'Mapa de Riesgos de Corrupción'!$AE$10="Leve"),CONCATENATE("R2C",'Mapa de Riesgos de Corrupción'!$R$10),"")</f>
        <v/>
      </c>
      <c r="P17" s="182" t="e">
        <f>IF(AND('Mapa de Riesgos de Corrupción'!#REF!="Alta",'Mapa de Riesgos de Corrupción'!#REF!="Menor"),CONCATENATE("R2C",'Mapa de Riesgos de Corrupción'!#REF!),"")</f>
        <v>#REF!</v>
      </c>
      <c r="Q17" s="183" t="e">
        <f>IF(AND('Mapa de Riesgos de Corrupción'!#REF!="Alta",'Mapa de Riesgos de Corrupción'!#REF!="Menor"),CONCATENATE("R2C",'Mapa de Riesgos de Corrupción'!#REF!),"")</f>
        <v>#REF!</v>
      </c>
      <c r="R17" s="183" t="e">
        <f>IF(AND('Mapa de Riesgos de Corrupción'!#REF!="Alta",'Mapa de Riesgos de Corrupción'!#REF!="Menor"),CONCATENATE("R2C",'Mapa de Riesgos de Corrupción'!#REF!),"")</f>
        <v>#REF!</v>
      </c>
      <c r="S17" s="183" t="e">
        <f>IF(AND('Mapa de Riesgos de Corrupción'!#REF!="Alta",'Mapa de Riesgos de Corrupción'!#REF!="Menor"),CONCATENATE("R2C",'Mapa de Riesgos de Corrupción'!#REF!),"")</f>
        <v>#REF!</v>
      </c>
      <c r="T17" s="183" t="e">
        <f>IF(AND('Mapa de Riesgos de Corrupción'!#REF!="Alta",'Mapa de Riesgos de Corrupción'!#REF!="Menor"),CONCATENATE("R2C",'Mapa de Riesgos de Corrupción'!#REF!),"")</f>
        <v>#REF!</v>
      </c>
      <c r="U17" s="184" t="str">
        <f ca="1">IF(AND('Mapa de Riesgos de Corrupción'!$AC$10="Alta",'Mapa de Riesgos de Corrupción'!$AE$10="Menor"),CONCATENATE("R2C",'Mapa de Riesgos de Corrupción'!$R$10),"")</f>
        <v/>
      </c>
      <c r="V17" s="167" t="e">
        <f>IF(AND('Mapa de Riesgos de Corrupción'!#REF!="Alta",'Mapa de Riesgos de Corrupción'!#REF!="Moderado"),CONCATENATE("R2C",'Mapa de Riesgos de Corrupción'!#REF!),"")</f>
        <v>#REF!</v>
      </c>
      <c r="W17" s="168" t="e">
        <f>IF(AND('Mapa de Riesgos de Corrupción'!#REF!="Alta",'Mapa de Riesgos de Corrupción'!#REF!="Moderado"),CONCATENATE("R2C",'Mapa de Riesgos de Corrupción'!#REF!),"")</f>
        <v>#REF!</v>
      </c>
      <c r="X17" s="168" t="e">
        <f>IF(AND('Mapa de Riesgos de Corrupción'!#REF!="Alta",'Mapa de Riesgos de Corrupción'!#REF!="Moderado"),CONCATENATE("R2C",'Mapa de Riesgos de Corrupción'!#REF!),"")</f>
        <v>#REF!</v>
      </c>
      <c r="Y17" s="168" t="e">
        <f>IF(AND('Mapa de Riesgos de Corrupción'!#REF!="Alta",'Mapa de Riesgos de Corrupción'!#REF!="Moderado"),CONCATENATE("R2C",'Mapa de Riesgos de Corrupción'!#REF!),"")</f>
        <v>#REF!</v>
      </c>
      <c r="Z17" s="168" t="e">
        <f>IF(AND('Mapa de Riesgos de Corrupción'!#REF!="Alta",'Mapa de Riesgos de Corrupción'!#REF!="Moderado"),CONCATENATE("R2C",'Mapa de Riesgos de Corrupción'!#REF!),"")</f>
        <v>#REF!</v>
      </c>
      <c r="AA17" s="169" t="str">
        <f ca="1">IF(AND('Mapa de Riesgos de Corrupción'!$AC$10="Alta",'Mapa de Riesgos de Corrupción'!$AE$10="Moderado"),CONCATENATE("R2C",'Mapa de Riesgos de Corrupción'!$R$10),"")</f>
        <v/>
      </c>
      <c r="AB17" s="167" t="e">
        <f>IF(AND('Mapa de Riesgos de Corrupción'!#REF!="Alta",'Mapa de Riesgos de Corrupción'!#REF!="Mayor"),CONCATENATE("R2C",'Mapa de Riesgos de Corrupción'!#REF!),"")</f>
        <v>#REF!</v>
      </c>
      <c r="AC17" s="168" t="e">
        <f>IF(AND('Mapa de Riesgos de Corrupción'!#REF!="Alta",'Mapa de Riesgos de Corrupción'!#REF!="Mayor"),CONCATENATE("R2C",'Mapa de Riesgos de Corrupción'!#REF!),"")</f>
        <v>#REF!</v>
      </c>
      <c r="AD17" s="168" t="e">
        <f>IF(AND('Mapa de Riesgos de Corrupción'!#REF!="Alta",'Mapa de Riesgos de Corrupción'!#REF!="Mayor"),CONCATENATE("R2C",'Mapa de Riesgos de Corrupción'!#REF!),"")</f>
        <v>#REF!</v>
      </c>
      <c r="AE17" s="168" t="e">
        <f>IF(AND('Mapa de Riesgos de Corrupción'!#REF!="Alta",'Mapa de Riesgos de Corrupción'!#REF!="Mayor"),CONCATENATE("R2C",'Mapa de Riesgos de Corrupción'!#REF!),"")</f>
        <v>#REF!</v>
      </c>
      <c r="AF17" s="168" t="e">
        <f>IF(AND('Mapa de Riesgos de Corrupción'!#REF!="Alta",'Mapa de Riesgos de Corrupción'!#REF!="Mayor"),CONCATENATE("R2C",'Mapa de Riesgos de Corrupción'!#REF!),"")</f>
        <v>#REF!</v>
      </c>
      <c r="AG17" s="169" t="str">
        <f ca="1">IF(AND('Mapa de Riesgos de Corrupción'!$AC$10="Alta",'Mapa de Riesgos de Corrupción'!$AE$10="Mayor"),CONCATENATE("R2C",'Mapa de Riesgos de Corrupción'!$R$10),"")</f>
        <v/>
      </c>
      <c r="AH17" s="170" t="e">
        <f>IF(AND('Mapa de Riesgos de Corrupción'!#REF!="Alta",'Mapa de Riesgos de Corrupción'!#REF!="Catastrófico"),CONCATENATE("R2C",'Mapa de Riesgos de Corrupción'!#REF!),"")</f>
        <v>#REF!</v>
      </c>
      <c r="AI17" s="171" t="e">
        <f>IF(AND('Mapa de Riesgos de Corrupción'!#REF!="Alta",'Mapa de Riesgos de Corrupción'!#REF!="Catastrófico"),CONCATENATE("R2C",'Mapa de Riesgos de Corrupción'!#REF!),"")</f>
        <v>#REF!</v>
      </c>
      <c r="AJ17" s="171" t="e">
        <f>IF(AND('Mapa de Riesgos de Corrupción'!#REF!="Alta",'Mapa de Riesgos de Corrupción'!#REF!="Catastrófico"),CONCATENATE("R2C",'Mapa de Riesgos de Corrupción'!#REF!),"")</f>
        <v>#REF!</v>
      </c>
      <c r="AK17" s="171" t="e">
        <f>IF(AND('Mapa de Riesgos de Corrupción'!#REF!="Alta",'Mapa de Riesgos de Corrupción'!#REF!="Catastrófico"),CONCATENATE("R2C",'Mapa de Riesgos de Corrupción'!#REF!),"")</f>
        <v>#REF!</v>
      </c>
      <c r="AL17" s="171" t="e">
        <f>IF(AND('Mapa de Riesgos de Corrupción'!#REF!="Alta",'Mapa de Riesgos de Corrupción'!#REF!="Catastrófico"),CONCATENATE("R2C",'Mapa de Riesgos de Corrupción'!#REF!),"")</f>
        <v>#REF!</v>
      </c>
      <c r="AM17" s="172" t="str">
        <f ca="1">IF(AND('Mapa de Riesgos de Corrupción'!$AC$10="Alta",'Mapa de Riesgos de Corrupción'!$AE$10="Catastrófico"),CONCATENATE("R2C",'Mapa de Riesgos de Corrupción'!$R$10),"")</f>
        <v/>
      </c>
      <c r="AN17" s="122"/>
      <c r="AO17" s="312"/>
      <c r="AP17" s="224"/>
      <c r="AQ17" s="224"/>
      <c r="AR17" s="224"/>
      <c r="AS17" s="224"/>
      <c r="AT17" s="313"/>
      <c r="AU17" s="122"/>
      <c r="AV17" s="122"/>
      <c r="AW17" s="122"/>
      <c r="AX17" s="122"/>
      <c r="AY17" s="122"/>
      <c r="AZ17" s="122"/>
      <c r="BA17" s="122"/>
      <c r="BB17" s="122"/>
      <c r="BC17" s="122"/>
      <c r="BD17" s="122"/>
      <c r="BE17" s="122"/>
      <c r="BF17" s="122"/>
      <c r="BG17" s="122"/>
      <c r="BH17" s="122"/>
      <c r="BI17" s="122"/>
    </row>
    <row r="18" spans="1:61" ht="15" customHeight="1">
      <c r="A18" s="122"/>
      <c r="B18" s="293"/>
      <c r="C18" s="224"/>
      <c r="D18" s="265"/>
      <c r="E18" s="223"/>
      <c r="F18" s="224"/>
      <c r="G18" s="224"/>
      <c r="H18" s="224"/>
      <c r="I18" s="224"/>
      <c r="J18" s="182" t="e">
        <f>IF(AND('Mapa de Riesgos de Corrupción'!#REF!="Alta",'Mapa de Riesgos de Corrupción'!#REF!="Leve"),CONCATENATE("R3C",'Mapa de Riesgos de Corrupción'!#REF!),"")</f>
        <v>#REF!</v>
      </c>
      <c r="K18" s="183" t="str">
        <f ca="1">IF(AND('Mapa de Riesgos de Corrupción'!$AC$11="Alta",'Mapa de Riesgos de Corrupción'!$AE$11="Leve"),CONCATENATE("R3C",'Mapa de Riesgos de Corrupción'!$R$11),"")</f>
        <v/>
      </c>
      <c r="L18" s="183" t="e">
        <f>IF(AND('Mapa de Riesgos de Corrupción'!#REF!="Alta",'Mapa de Riesgos de Corrupción'!#REF!="Leve"),CONCATENATE("R3C",'Mapa de Riesgos de Corrupción'!#REF!),"")</f>
        <v>#REF!</v>
      </c>
      <c r="M18" s="183" t="str">
        <f ca="1">IF(AND('Mapa de Riesgos de Corrupción'!$AC$12="Alta",'Mapa de Riesgos de Corrupción'!$AE$12="Leve"),CONCATENATE("R3C",'Mapa de Riesgos de Corrupción'!$R$12),"")</f>
        <v/>
      </c>
      <c r="N18" s="183" t="e">
        <f>IF(AND('Mapa de Riesgos de Corrupción'!#REF!="Alta",'Mapa de Riesgos de Corrupción'!#REF!="Leve"),CONCATENATE("R3C",'Mapa de Riesgos de Corrupción'!#REF!),"")</f>
        <v>#REF!</v>
      </c>
      <c r="O18" s="184" t="e">
        <f>IF(AND('Mapa de Riesgos de Corrupción'!#REF!="Alta",'Mapa de Riesgos de Corrupción'!#REF!="Leve"),CONCATENATE("R3C",'Mapa de Riesgos de Corrupción'!#REF!),"")</f>
        <v>#REF!</v>
      </c>
      <c r="P18" s="182" t="e">
        <f>IF(AND('Mapa de Riesgos de Corrupción'!#REF!="Alta",'Mapa de Riesgos de Corrupción'!#REF!="Menor"),CONCATENATE("R3C",'Mapa de Riesgos de Corrupción'!#REF!),"")</f>
        <v>#REF!</v>
      </c>
      <c r="Q18" s="183" t="str">
        <f ca="1">IF(AND('Mapa de Riesgos de Corrupción'!$AC$11="Alta",'Mapa de Riesgos de Corrupción'!$AE$11="Menor"),CONCATENATE("R3C",'Mapa de Riesgos de Corrupción'!$R$11),"")</f>
        <v/>
      </c>
      <c r="R18" s="183" t="e">
        <f>IF(AND('Mapa de Riesgos de Corrupción'!#REF!="Alta",'Mapa de Riesgos de Corrupción'!#REF!="Menor"),CONCATENATE("R3C",'Mapa de Riesgos de Corrupción'!#REF!),"")</f>
        <v>#REF!</v>
      </c>
      <c r="S18" s="183" t="str">
        <f ca="1">IF(AND('Mapa de Riesgos de Corrupción'!$AC$12="Alta",'Mapa de Riesgos de Corrupción'!$AE$12="Menor"),CONCATENATE("R3C",'Mapa de Riesgos de Corrupción'!$R$12),"")</f>
        <v/>
      </c>
      <c r="T18" s="183" t="e">
        <f>IF(AND('Mapa de Riesgos de Corrupción'!#REF!="Alta",'Mapa de Riesgos de Corrupción'!#REF!="Menor"),CONCATENATE("R3C",'Mapa de Riesgos de Corrupción'!#REF!),"")</f>
        <v>#REF!</v>
      </c>
      <c r="U18" s="184" t="e">
        <f>IF(AND('Mapa de Riesgos de Corrupción'!#REF!="Alta",'Mapa de Riesgos de Corrupción'!#REF!="Menor"),CONCATENATE("R3C",'Mapa de Riesgos de Corrupción'!#REF!),"")</f>
        <v>#REF!</v>
      </c>
      <c r="V18" s="167" t="e">
        <f>IF(AND('Mapa de Riesgos de Corrupción'!#REF!="Alta",'Mapa de Riesgos de Corrupción'!#REF!="Moderado"),CONCATENATE("R3C",'Mapa de Riesgos de Corrupción'!#REF!),"")</f>
        <v>#REF!</v>
      </c>
      <c r="W18" s="168" t="str">
        <f ca="1">IF(AND('Mapa de Riesgos de Corrupción'!$AC$11="Alta",'Mapa de Riesgos de Corrupción'!$AE$11="Moderado"),CONCATENATE("R3C",'Mapa de Riesgos de Corrupción'!$R$11),"")</f>
        <v/>
      </c>
      <c r="X18" s="168" t="e">
        <f>IF(AND('Mapa de Riesgos de Corrupción'!#REF!="Alta",'Mapa de Riesgos de Corrupción'!#REF!="Moderado"),CONCATENATE("R3C",'Mapa de Riesgos de Corrupción'!#REF!),"")</f>
        <v>#REF!</v>
      </c>
      <c r="Y18" s="168" t="str">
        <f ca="1">IF(AND('Mapa de Riesgos de Corrupción'!$AC$12="Alta",'Mapa de Riesgos de Corrupción'!$AE$12="Moderado"),CONCATENATE("R3C",'Mapa de Riesgos de Corrupción'!$R$12),"")</f>
        <v/>
      </c>
      <c r="Z18" s="168" t="e">
        <f>IF(AND('Mapa de Riesgos de Corrupción'!#REF!="Alta",'Mapa de Riesgos de Corrupción'!#REF!="Moderado"),CONCATENATE("R3C",'Mapa de Riesgos de Corrupción'!#REF!),"")</f>
        <v>#REF!</v>
      </c>
      <c r="AA18" s="169" t="e">
        <f>IF(AND('Mapa de Riesgos de Corrupción'!#REF!="Alta",'Mapa de Riesgos de Corrupción'!#REF!="Moderado"),CONCATENATE("R3C",'Mapa de Riesgos de Corrupción'!#REF!),"")</f>
        <v>#REF!</v>
      </c>
      <c r="AB18" s="167" t="e">
        <f>IF(AND('Mapa de Riesgos de Corrupción'!#REF!="Alta",'Mapa de Riesgos de Corrupción'!#REF!="Mayor"),CONCATENATE("R3C",'Mapa de Riesgos de Corrupción'!#REF!),"")</f>
        <v>#REF!</v>
      </c>
      <c r="AC18" s="168" t="str">
        <f ca="1">IF(AND('Mapa de Riesgos de Corrupción'!$AC$11="Alta",'Mapa de Riesgos de Corrupción'!$AE$11="Mayor"),CONCATENATE("R3C",'Mapa de Riesgos de Corrupción'!$R$11),"")</f>
        <v/>
      </c>
      <c r="AD18" s="168" t="e">
        <f>IF(AND('Mapa de Riesgos de Corrupción'!#REF!="Alta",'Mapa de Riesgos de Corrupción'!#REF!="Mayor"),CONCATENATE("R3C",'Mapa de Riesgos de Corrupción'!#REF!),"")</f>
        <v>#REF!</v>
      </c>
      <c r="AE18" s="168" t="str">
        <f ca="1">IF(AND('Mapa de Riesgos de Corrupción'!$AC$12="Alta",'Mapa de Riesgos de Corrupción'!$AE$12="Mayor"),CONCATENATE("R3C",'Mapa de Riesgos de Corrupción'!$R$12),"")</f>
        <v/>
      </c>
      <c r="AF18" s="168" t="e">
        <f>IF(AND('Mapa de Riesgos de Corrupción'!#REF!="Alta",'Mapa de Riesgos de Corrupción'!#REF!="Mayor"),CONCATENATE("R3C",'Mapa de Riesgos de Corrupción'!#REF!),"")</f>
        <v>#REF!</v>
      </c>
      <c r="AG18" s="169" t="e">
        <f>IF(AND('Mapa de Riesgos de Corrupción'!#REF!="Alta",'Mapa de Riesgos de Corrupción'!#REF!="Mayor"),CONCATENATE("R3C",'Mapa de Riesgos de Corrupción'!#REF!),"")</f>
        <v>#REF!</v>
      </c>
      <c r="AH18" s="170" t="e">
        <f>IF(AND('Mapa de Riesgos de Corrupción'!#REF!="Alta",'Mapa de Riesgos de Corrupción'!#REF!="Catastrófico"),CONCATENATE("R3C",'Mapa de Riesgos de Corrupción'!#REF!),"")</f>
        <v>#REF!</v>
      </c>
      <c r="AI18" s="171" t="str">
        <f ca="1">IF(AND('Mapa de Riesgos de Corrupción'!$AC$11="Alta",'Mapa de Riesgos de Corrupción'!$AE$11="Catastrófico"),CONCATENATE("R3C",'Mapa de Riesgos de Corrupción'!$R$11),"")</f>
        <v/>
      </c>
      <c r="AJ18" s="171" t="e">
        <f>IF(AND('Mapa de Riesgos de Corrupción'!#REF!="Alta",'Mapa de Riesgos de Corrupción'!#REF!="Catastrófico"),CONCATENATE("R3C",'Mapa de Riesgos de Corrupción'!#REF!),"")</f>
        <v>#REF!</v>
      </c>
      <c r="AK18" s="171" t="str">
        <f ca="1">IF(AND('Mapa de Riesgos de Corrupción'!$AC$12="Alta",'Mapa de Riesgos de Corrupción'!$AE$12="Catastrófico"),CONCATENATE("R3C",'Mapa de Riesgos de Corrupción'!$R$12),"")</f>
        <v/>
      </c>
      <c r="AL18" s="171" t="e">
        <f>IF(AND('Mapa de Riesgos de Corrupción'!#REF!="Alta",'Mapa de Riesgos de Corrupción'!#REF!="Catastrófico"),CONCATENATE("R3C",'Mapa de Riesgos de Corrupción'!#REF!),"")</f>
        <v>#REF!</v>
      </c>
      <c r="AM18" s="172" t="e">
        <f>IF(AND('Mapa de Riesgos de Corrupción'!#REF!="Alta",'Mapa de Riesgos de Corrupción'!#REF!="Catastrófico"),CONCATENATE("R3C",'Mapa de Riesgos de Corrupción'!#REF!),"")</f>
        <v>#REF!</v>
      </c>
      <c r="AN18" s="122"/>
      <c r="AO18" s="312"/>
      <c r="AP18" s="224"/>
      <c r="AQ18" s="224"/>
      <c r="AR18" s="224"/>
      <c r="AS18" s="224"/>
      <c r="AT18" s="313"/>
      <c r="AU18" s="122"/>
      <c r="AV18" s="122"/>
      <c r="AW18" s="122"/>
      <c r="AX18" s="122"/>
      <c r="AY18" s="122"/>
      <c r="AZ18" s="122"/>
      <c r="BA18" s="122"/>
      <c r="BB18" s="122"/>
      <c r="BC18" s="122"/>
      <c r="BD18" s="122"/>
      <c r="BE18" s="122"/>
      <c r="BF18" s="122"/>
      <c r="BG18" s="122"/>
      <c r="BH18" s="122"/>
      <c r="BI18" s="122"/>
    </row>
    <row r="19" spans="1:61" ht="15" customHeight="1">
      <c r="A19" s="122"/>
      <c r="B19" s="293"/>
      <c r="C19" s="224"/>
      <c r="D19" s="265"/>
      <c r="E19" s="223"/>
      <c r="F19" s="224"/>
      <c r="G19" s="224"/>
      <c r="H19" s="224"/>
      <c r="I19" s="224"/>
      <c r="J19" s="182" t="str">
        <f ca="1">IF(AND('Mapa de Riesgos de Corrupción'!$AC$13="Alta",'Mapa de Riesgos de Corrupción'!$AE$13="Leve"),CONCATENATE("R4C",'Mapa de Riesgos de Corrupción'!$R$13),"")</f>
        <v/>
      </c>
      <c r="K19" s="183" t="e">
        <f>IF(AND('Mapa de Riesgos de Corrupción'!#REF!="Alta",'Mapa de Riesgos de Corrupción'!#REF!="Leve"),CONCATENATE("R4C",'Mapa de Riesgos de Corrupción'!#REF!),"")</f>
        <v>#REF!</v>
      </c>
      <c r="L19" s="183" t="str">
        <f ca="1">IF(AND('Mapa de Riesgos de Corrupción'!$AC$14="Alta",'Mapa de Riesgos de Corrupción'!$AE$14="Leve"),CONCATENATE("R4C",'Mapa de Riesgos de Corrupción'!$R$14),"")</f>
        <v/>
      </c>
      <c r="M19" s="183" t="e">
        <f>IF(AND('Mapa de Riesgos de Corrupción'!#REF!="Alta",'Mapa de Riesgos de Corrupción'!#REF!="Leve"),CONCATENATE("R4C",'Mapa de Riesgos de Corrupción'!#REF!),"")</f>
        <v>#REF!</v>
      </c>
      <c r="N19" s="183" t="e">
        <f>IF(AND('Mapa de Riesgos de Corrupción'!#REF!="Alta",'Mapa de Riesgos de Corrupción'!#REF!="Leve"),CONCATENATE("R4C",'Mapa de Riesgos de Corrupción'!#REF!),"")</f>
        <v>#REF!</v>
      </c>
      <c r="O19" s="184" t="str">
        <f ca="1">IF(AND('Mapa de Riesgos de Corrupción'!$AC$15="Alta",'Mapa de Riesgos de Corrupción'!$AE$15="Leve"),CONCATENATE("R4C",'Mapa de Riesgos de Corrupción'!$R$15),"")</f>
        <v/>
      </c>
      <c r="P19" s="182" t="str">
        <f ca="1">IF(AND('Mapa de Riesgos de Corrupción'!$AC$13="Alta",'Mapa de Riesgos de Corrupción'!$AE$13="Menor"),CONCATENATE("R4C",'Mapa de Riesgos de Corrupción'!$R$13),"")</f>
        <v/>
      </c>
      <c r="Q19" s="183" t="e">
        <f>IF(AND('Mapa de Riesgos de Corrupción'!#REF!="Alta",'Mapa de Riesgos de Corrupción'!#REF!="Menor"),CONCATENATE("R4C",'Mapa de Riesgos de Corrupción'!#REF!),"")</f>
        <v>#REF!</v>
      </c>
      <c r="R19" s="183" t="str">
        <f ca="1">IF(AND('Mapa de Riesgos de Corrupción'!$AC$14="Alta",'Mapa de Riesgos de Corrupción'!$AE$14="Menor"),CONCATENATE("R4C",'Mapa de Riesgos de Corrupción'!$R$14),"")</f>
        <v/>
      </c>
      <c r="S19" s="183" t="e">
        <f>IF(AND('Mapa de Riesgos de Corrupción'!#REF!="Alta",'Mapa de Riesgos de Corrupción'!#REF!="Menor"),CONCATENATE("R4C",'Mapa de Riesgos de Corrupción'!#REF!),"")</f>
        <v>#REF!</v>
      </c>
      <c r="T19" s="183" t="e">
        <f>IF(AND('Mapa de Riesgos de Corrupción'!#REF!="Alta",'Mapa de Riesgos de Corrupción'!#REF!="Menor"),CONCATENATE("R4C",'Mapa de Riesgos de Corrupción'!#REF!),"")</f>
        <v>#REF!</v>
      </c>
      <c r="U19" s="184" t="str">
        <f ca="1">IF(AND('Mapa de Riesgos de Corrupción'!$AC$15="Alta",'Mapa de Riesgos de Corrupción'!$AE$15="Menor"),CONCATENATE("R4C",'Mapa de Riesgos de Corrupción'!$R$15),"")</f>
        <v/>
      </c>
      <c r="V19" s="167" t="str">
        <f ca="1">IF(AND('Mapa de Riesgos de Corrupción'!$AC$13="Alta",'Mapa de Riesgos de Corrupción'!$AE$13="Moderado"),CONCATENATE("R4C",'Mapa de Riesgos de Corrupción'!$R$13),"")</f>
        <v/>
      </c>
      <c r="W19" s="168" t="e">
        <f>IF(AND('Mapa de Riesgos de Corrupción'!#REF!="Alta",'Mapa de Riesgos de Corrupción'!#REF!="Moderado"),CONCATENATE("R4C",'Mapa de Riesgos de Corrupción'!#REF!),"")</f>
        <v>#REF!</v>
      </c>
      <c r="X19" s="168" t="str">
        <f ca="1">IF(AND('Mapa de Riesgos de Corrupción'!$AC$14="Alta",'Mapa de Riesgos de Corrupción'!$AE$14="Moderado"),CONCATENATE("R4C",'Mapa de Riesgos de Corrupción'!$R$14),"")</f>
        <v/>
      </c>
      <c r="Y19" s="168" t="e">
        <f>IF(AND('Mapa de Riesgos de Corrupción'!#REF!="Alta",'Mapa de Riesgos de Corrupción'!#REF!="Moderado"),CONCATENATE("R4C",'Mapa de Riesgos de Corrupción'!#REF!),"")</f>
        <v>#REF!</v>
      </c>
      <c r="Z19" s="168" t="e">
        <f>IF(AND('Mapa de Riesgos de Corrupción'!#REF!="Alta",'Mapa de Riesgos de Corrupción'!#REF!="Moderado"),CONCATENATE("R4C",'Mapa de Riesgos de Corrupción'!#REF!),"")</f>
        <v>#REF!</v>
      </c>
      <c r="AA19" s="169" t="str">
        <f ca="1">IF(AND('Mapa de Riesgos de Corrupción'!$AC$15="Alta",'Mapa de Riesgos de Corrupción'!$AE$15="Moderado"),CONCATENATE("R4C",'Mapa de Riesgos de Corrupción'!$R$15),"")</f>
        <v/>
      </c>
      <c r="AB19" s="167" t="str">
        <f ca="1">IF(AND('Mapa de Riesgos de Corrupción'!$AC$13="Alta",'Mapa de Riesgos de Corrupción'!$AE$13="Mayor"),CONCATENATE("R4C",'Mapa de Riesgos de Corrupción'!$R$13),"")</f>
        <v/>
      </c>
      <c r="AC19" s="168" t="e">
        <f>IF(AND('Mapa de Riesgos de Corrupción'!#REF!="Alta",'Mapa de Riesgos de Corrupción'!#REF!="Mayor"),CONCATENATE("R4C",'Mapa de Riesgos de Corrupción'!#REF!),"")</f>
        <v>#REF!</v>
      </c>
      <c r="AD19" s="168" t="str">
        <f ca="1">IF(AND('Mapa de Riesgos de Corrupción'!$AC$14="Alta",'Mapa de Riesgos de Corrupción'!$AE$14="Mayor"),CONCATENATE("R4C",'Mapa de Riesgos de Corrupción'!$R$14),"")</f>
        <v/>
      </c>
      <c r="AE19" s="168" t="e">
        <f>IF(AND('Mapa de Riesgos de Corrupción'!#REF!="Alta",'Mapa de Riesgos de Corrupción'!#REF!="Mayor"),CONCATENATE("R4C",'Mapa de Riesgos de Corrupción'!#REF!),"")</f>
        <v>#REF!</v>
      </c>
      <c r="AF19" s="168" t="e">
        <f>IF(AND('Mapa de Riesgos de Corrupción'!#REF!="Alta",'Mapa de Riesgos de Corrupción'!#REF!="Mayor"),CONCATENATE("R4C",'Mapa de Riesgos de Corrupción'!#REF!),"")</f>
        <v>#REF!</v>
      </c>
      <c r="AG19" s="169" t="str">
        <f ca="1">IF(AND('Mapa de Riesgos de Corrupción'!$AC$15="Alta",'Mapa de Riesgos de Corrupción'!$AE$15="Mayor"),CONCATENATE("R4C",'Mapa de Riesgos de Corrupción'!$R$15),"")</f>
        <v/>
      </c>
      <c r="AH19" s="170" t="str">
        <f ca="1">IF(AND('Mapa de Riesgos de Corrupción'!$AC$13="Alta",'Mapa de Riesgos de Corrupción'!$AE$13="Catastrófico"),CONCATENATE("R4C",'Mapa de Riesgos de Corrupción'!$R$13),"")</f>
        <v/>
      </c>
      <c r="AI19" s="171" t="e">
        <f>IF(AND('Mapa de Riesgos de Corrupción'!#REF!="Alta",'Mapa de Riesgos de Corrupción'!#REF!="Catastrófico"),CONCATENATE("R4C",'Mapa de Riesgos de Corrupción'!#REF!),"")</f>
        <v>#REF!</v>
      </c>
      <c r="AJ19" s="171" t="str">
        <f ca="1">IF(AND('Mapa de Riesgos de Corrupción'!$AC$14="Alta",'Mapa de Riesgos de Corrupción'!$AE$14="Catastrófico"),CONCATENATE("R4C",'Mapa de Riesgos de Corrupción'!$R$14),"")</f>
        <v/>
      </c>
      <c r="AK19" s="171" t="e">
        <f>IF(AND('Mapa de Riesgos de Corrupción'!#REF!="Alta",'Mapa de Riesgos de Corrupción'!#REF!="Catastrófico"),CONCATENATE("R4C",'Mapa de Riesgos de Corrupción'!#REF!),"")</f>
        <v>#REF!</v>
      </c>
      <c r="AL19" s="171" t="e">
        <f>IF(AND('Mapa de Riesgos de Corrupción'!#REF!="Alta",'Mapa de Riesgos de Corrupción'!#REF!="Catastrófico"),CONCATENATE("R4C",'Mapa de Riesgos de Corrupción'!#REF!),"")</f>
        <v>#REF!</v>
      </c>
      <c r="AM19" s="172" t="str">
        <f ca="1">IF(AND('Mapa de Riesgos de Corrupción'!$AC$15="Alta",'Mapa de Riesgos de Corrupción'!$AE$15="Catastrófico"),CONCATENATE("R4C",'Mapa de Riesgos de Corrupción'!$R$15),"")</f>
        <v/>
      </c>
      <c r="AN19" s="122"/>
      <c r="AO19" s="312"/>
      <c r="AP19" s="224"/>
      <c r="AQ19" s="224"/>
      <c r="AR19" s="224"/>
      <c r="AS19" s="224"/>
      <c r="AT19" s="313"/>
      <c r="AU19" s="122"/>
      <c r="AV19" s="122"/>
      <c r="AW19" s="122"/>
      <c r="AX19" s="122"/>
      <c r="AY19" s="122"/>
      <c r="AZ19" s="122"/>
      <c r="BA19" s="122"/>
      <c r="BB19" s="122"/>
      <c r="BC19" s="122"/>
      <c r="BD19" s="122"/>
      <c r="BE19" s="122"/>
      <c r="BF19" s="122"/>
      <c r="BG19" s="122"/>
      <c r="BH19" s="122"/>
      <c r="BI19" s="122"/>
    </row>
    <row r="20" spans="1:61" ht="15" customHeight="1">
      <c r="A20" s="122"/>
      <c r="B20" s="293"/>
      <c r="C20" s="224"/>
      <c r="D20" s="265"/>
      <c r="E20" s="223"/>
      <c r="F20" s="224"/>
      <c r="G20" s="224"/>
      <c r="H20" s="224"/>
      <c r="I20" s="224"/>
      <c r="J20" s="182" t="str">
        <f ca="1">IF(AND('Mapa de Riesgos de Corrupción'!$AC$16="Alta",'Mapa de Riesgos de Corrupción'!$AE$16="Leve"),CONCATENATE("R5C",'Mapa de Riesgos de Corrupción'!$R$16),"")</f>
        <v/>
      </c>
      <c r="K20" s="183" t="e">
        <f>IF(AND('Mapa de Riesgos de Corrupción'!#REF!="Alta",'Mapa de Riesgos de Corrupción'!#REF!="Leve"),CONCATENATE("R5C",'Mapa de Riesgos de Corrupción'!#REF!),"")</f>
        <v>#REF!</v>
      </c>
      <c r="L20" s="183" t="e">
        <f>IF(AND('Mapa de Riesgos de Corrupción'!#REF!="Alta",'Mapa de Riesgos de Corrupción'!#REF!="Leve"),CONCATENATE("R5C",'Mapa de Riesgos de Corrupción'!#REF!),"")</f>
        <v>#REF!</v>
      </c>
      <c r="M20" s="183" t="str">
        <f ca="1">IF(AND('Mapa de Riesgos de Corrupción'!$AC$17="Alta",'Mapa de Riesgos de Corrupción'!$AE$17="Leve"),CONCATENATE("R5C",'Mapa de Riesgos de Corrupción'!$R$17),"")</f>
        <v/>
      </c>
      <c r="N20" s="183" t="e">
        <f>IF(AND('Mapa de Riesgos de Corrupción'!#REF!="Alta",'Mapa de Riesgos de Corrupción'!#REF!="Leve"),CONCATENATE("R5C",'Mapa de Riesgos de Corrupción'!#REF!),"")</f>
        <v>#REF!</v>
      </c>
      <c r="O20" s="184" t="str">
        <f ca="1">IF(AND('Mapa de Riesgos de Corrupción'!$AC$18="Alta",'Mapa de Riesgos de Corrupción'!$AE$18="Leve"),CONCATENATE("R5C",'Mapa de Riesgos de Corrupción'!$R$18),"")</f>
        <v/>
      </c>
      <c r="P20" s="182" t="str">
        <f ca="1">IF(AND('Mapa de Riesgos de Corrupción'!$AC$16="Alta",'Mapa de Riesgos de Corrupción'!$AE$16="Menor"),CONCATENATE("R5C",'Mapa de Riesgos de Corrupción'!$R$16),"")</f>
        <v/>
      </c>
      <c r="Q20" s="183" t="e">
        <f>IF(AND('Mapa de Riesgos de Corrupción'!#REF!="Alta",'Mapa de Riesgos de Corrupción'!#REF!="Menor"),CONCATENATE("R5C",'Mapa de Riesgos de Corrupción'!#REF!),"")</f>
        <v>#REF!</v>
      </c>
      <c r="R20" s="183" t="e">
        <f>IF(AND('Mapa de Riesgos de Corrupción'!#REF!="Alta",'Mapa de Riesgos de Corrupción'!#REF!="Menor"),CONCATENATE("R5C",'Mapa de Riesgos de Corrupción'!#REF!),"")</f>
        <v>#REF!</v>
      </c>
      <c r="S20" s="183" t="str">
        <f ca="1">IF(AND('Mapa de Riesgos de Corrupción'!$AC$17="Alta",'Mapa de Riesgos de Corrupción'!$AE$17="Menor"),CONCATENATE("R5C",'Mapa de Riesgos de Corrupción'!$R$17),"")</f>
        <v/>
      </c>
      <c r="T20" s="183" t="e">
        <f>IF(AND('Mapa de Riesgos de Corrupción'!#REF!="Alta",'Mapa de Riesgos de Corrupción'!#REF!="Menor"),CONCATENATE("R5C",'Mapa de Riesgos de Corrupción'!#REF!),"")</f>
        <v>#REF!</v>
      </c>
      <c r="U20" s="184" t="str">
        <f ca="1">IF(AND('Mapa de Riesgos de Corrupción'!$AC$18="Alta",'Mapa de Riesgos de Corrupción'!$AE$18="Menor"),CONCATENATE("R5C",'Mapa de Riesgos de Corrupción'!$R$18),"")</f>
        <v/>
      </c>
      <c r="V20" s="167" t="str">
        <f ca="1">IF(AND('Mapa de Riesgos de Corrupción'!$AC$16="Alta",'Mapa de Riesgos de Corrupción'!$AE$16="Moderado"),CONCATENATE("R5C",'Mapa de Riesgos de Corrupción'!$R$16),"")</f>
        <v/>
      </c>
      <c r="W20" s="168" t="e">
        <f>IF(AND('Mapa de Riesgos de Corrupción'!#REF!="Alta",'Mapa de Riesgos de Corrupción'!#REF!="Moderado"),CONCATENATE("R5C",'Mapa de Riesgos de Corrupción'!#REF!),"")</f>
        <v>#REF!</v>
      </c>
      <c r="X20" s="168" t="e">
        <f>IF(AND('Mapa de Riesgos de Corrupción'!#REF!="Alta",'Mapa de Riesgos de Corrupción'!#REF!="Moderado"),CONCATENATE("R5C",'Mapa de Riesgos de Corrupción'!#REF!),"")</f>
        <v>#REF!</v>
      </c>
      <c r="Y20" s="168" t="str">
        <f ca="1">IF(AND('Mapa de Riesgos de Corrupción'!$AC$17="Alta",'Mapa de Riesgos de Corrupción'!$AE$17="Moderado"),CONCATENATE("R5C",'Mapa de Riesgos de Corrupción'!$R$17),"")</f>
        <v/>
      </c>
      <c r="Z20" s="168" t="e">
        <f>IF(AND('Mapa de Riesgos de Corrupción'!#REF!="Alta",'Mapa de Riesgos de Corrupción'!#REF!="Moderado"),CONCATENATE("R5C",'Mapa de Riesgos de Corrupción'!#REF!),"")</f>
        <v>#REF!</v>
      </c>
      <c r="AA20" s="169" t="str">
        <f ca="1">IF(AND('Mapa de Riesgos de Corrupción'!$AC$18="Alta",'Mapa de Riesgos de Corrupción'!$AE$18="Moderado"),CONCATENATE("R5C",'Mapa de Riesgos de Corrupción'!$R$18),"")</f>
        <v/>
      </c>
      <c r="AB20" s="167" t="str">
        <f ca="1">IF(AND('Mapa de Riesgos de Corrupción'!$AC$16="Alta",'Mapa de Riesgos de Corrupción'!$AE$16="Mayor"),CONCATENATE("R5C",'Mapa de Riesgos de Corrupción'!$R$16),"")</f>
        <v/>
      </c>
      <c r="AC20" s="168" t="e">
        <f>IF(AND('Mapa de Riesgos de Corrupción'!#REF!="Alta",'Mapa de Riesgos de Corrupción'!#REF!="Mayor"),CONCATENATE("R5C",'Mapa de Riesgos de Corrupción'!#REF!),"")</f>
        <v>#REF!</v>
      </c>
      <c r="AD20" s="168" t="e">
        <f>IF(AND('Mapa de Riesgos de Corrupción'!#REF!="Alta",'Mapa de Riesgos de Corrupción'!#REF!="Mayor"),CONCATENATE("R5C",'Mapa de Riesgos de Corrupción'!#REF!),"")</f>
        <v>#REF!</v>
      </c>
      <c r="AE20" s="168" t="str">
        <f ca="1">IF(AND('Mapa de Riesgos de Corrupción'!$AC$17="Alta",'Mapa de Riesgos de Corrupción'!$AE$17="Mayor"),CONCATENATE("R5C",'Mapa de Riesgos de Corrupción'!$R$17),"")</f>
        <v/>
      </c>
      <c r="AF20" s="168" t="e">
        <f>IF(AND('Mapa de Riesgos de Corrupción'!#REF!="Alta",'Mapa de Riesgos de Corrupción'!#REF!="Mayor"),CONCATENATE("R5C",'Mapa de Riesgos de Corrupción'!#REF!),"")</f>
        <v>#REF!</v>
      </c>
      <c r="AG20" s="169" t="str">
        <f ca="1">IF(AND('Mapa de Riesgos de Corrupción'!$AC$18="Alta",'Mapa de Riesgos de Corrupción'!$AE$18="Mayor"),CONCATENATE("R5C",'Mapa de Riesgos de Corrupción'!$R$18),"")</f>
        <v/>
      </c>
      <c r="AH20" s="170" t="str">
        <f ca="1">IF(AND('Mapa de Riesgos de Corrupción'!$AC$16="Alta",'Mapa de Riesgos de Corrupción'!$AE$16="Catastrófico"),CONCATENATE("R5C",'Mapa de Riesgos de Corrupción'!$R$16),"")</f>
        <v/>
      </c>
      <c r="AI20" s="171" t="e">
        <f>IF(AND('Mapa de Riesgos de Corrupción'!#REF!="Alta",'Mapa de Riesgos de Corrupción'!#REF!="Catastrófico"),CONCATENATE("R5C",'Mapa de Riesgos de Corrupción'!#REF!),"")</f>
        <v>#REF!</v>
      </c>
      <c r="AJ20" s="171" t="e">
        <f>IF(AND('Mapa de Riesgos de Corrupción'!#REF!="Alta",'Mapa de Riesgos de Corrupción'!#REF!="Catastrófico"),CONCATENATE("R5C",'Mapa de Riesgos de Corrupción'!#REF!),"")</f>
        <v>#REF!</v>
      </c>
      <c r="AK20" s="171" t="str">
        <f ca="1">IF(AND('Mapa de Riesgos de Corrupción'!$AC$17="Alta",'Mapa de Riesgos de Corrupción'!$AE$17="Catastrófico"),CONCATENATE("R5C",'Mapa de Riesgos de Corrupción'!$R$17),"")</f>
        <v/>
      </c>
      <c r="AL20" s="171" t="e">
        <f>IF(AND('Mapa de Riesgos de Corrupción'!#REF!="Alta",'Mapa de Riesgos de Corrupción'!#REF!="Catastrófico"),CONCATENATE("R5C",'Mapa de Riesgos de Corrupción'!#REF!),"")</f>
        <v>#REF!</v>
      </c>
      <c r="AM20" s="172" t="str">
        <f ca="1">IF(AND('Mapa de Riesgos de Corrupción'!$AC$18="Alta",'Mapa de Riesgos de Corrupción'!$AE$18="Catastrófico"),CONCATENATE("R5C",'Mapa de Riesgos de Corrupción'!$R$18),"")</f>
        <v/>
      </c>
      <c r="AN20" s="122"/>
      <c r="AO20" s="312"/>
      <c r="AP20" s="224"/>
      <c r="AQ20" s="224"/>
      <c r="AR20" s="224"/>
      <c r="AS20" s="224"/>
      <c r="AT20" s="313"/>
      <c r="AU20" s="122"/>
      <c r="AV20" s="122"/>
      <c r="AW20" s="122"/>
      <c r="AX20" s="122"/>
      <c r="AY20" s="122"/>
      <c r="AZ20" s="122"/>
      <c r="BA20" s="122"/>
      <c r="BB20" s="122"/>
      <c r="BC20" s="122"/>
      <c r="BD20" s="122"/>
      <c r="BE20" s="122"/>
      <c r="BF20" s="122"/>
      <c r="BG20" s="122"/>
      <c r="BH20" s="122"/>
      <c r="BI20" s="122"/>
    </row>
    <row r="21" spans="1:61" ht="15" customHeight="1">
      <c r="A21" s="122"/>
      <c r="B21" s="293"/>
      <c r="C21" s="224"/>
      <c r="D21" s="265"/>
      <c r="E21" s="223"/>
      <c r="F21" s="224"/>
      <c r="G21" s="224"/>
      <c r="H21" s="224"/>
      <c r="I21" s="224"/>
      <c r="J21" s="182" t="e">
        <f>IF(AND('Mapa de Riesgos de Corrupción'!#REF!="Alta",'Mapa de Riesgos de Corrupción'!#REF!="Leve"),CONCATENATE("R6C",'Mapa de Riesgos de Corrupción'!#REF!),"")</f>
        <v>#REF!</v>
      </c>
      <c r="K21" s="183" t="e">
        <f>IF(AND('Mapa de Riesgos de Corrupción'!#REF!="Alta",'Mapa de Riesgos de Corrupción'!#REF!="Leve"),CONCATENATE("R6C",'Mapa de Riesgos de Corrupción'!#REF!),"")</f>
        <v>#REF!</v>
      </c>
      <c r="L21" s="183" t="e">
        <f>IF(AND('Mapa de Riesgos de Corrupción'!#REF!="Alta",'Mapa de Riesgos de Corrupción'!#REF!="Leve"),CONCATENATE("R6C",'Mapa de Riesgos de Corrupción'!#REF!),"")</f>
        <v>#REF!</v>
      </c>
      <c r="M21" s="183" t="e">
        <f>IF(AND('Mapa de Riesgos de Corrupción'!#REF!="Alta",'Mapa de Riesgos de Corrupción'!#REF!="Leve"),CONCATENATE("R6C",'Mapa de Riesgos de Corrupción'!#REF!),"")</f>
        <v>#REF!</v>
      </c>
      <c r="N21" s="183" t="e">
        <f>IF(AND('Mapa de Riesgos de Corrupción'!#REF!="Alta",'Mapa de Riesgos de Corrupción'!#REF!="Leve"),CONCATENATE("R6C",'Mapa de Riesgos de Corrupción'!#REF!),"")</f>
        <v>#REF!</v>
      </c>
      <c r="O21" s="184" t="e">
        <f>IF(AND('Mapa de Riesgos de Corrupción'!#REF!="Alta",'Mapa de Riesgos de Corrupción'!#REF!="Leve"),CONCATENATE("R6C",'Mapa de Riesgos de Corrupción'!#REF!),"")</f>
        <v>#REF!</v>
      </c>
      <c r="P21" s="182" t="e">
        <f>IF(AND('Mapa de Riesgos de Corrupción'!#REF!="Alta",'Mapa de Riesgos de Corrupción'!#REF!="Menor"),CONCATENATE("R6C",'Mapa de Riesgos de Corrupción'!#REF!),"")</f>
        <v>#REF!</v>
      </c>
      <c r="Q21" s="183" t="e">
        <f>IF(AND('Mapa de Riesgos de Corrupción'!#REF!="Alta",'Mapa de Riesgos de Corrupción'!#REF!="Menor"),CONCATENATE("R6C",'Mapa de Riesgos de Corrupción'!#REF!),"")</f>
        <v>#REF!</v>
      </c>
      <c r="R21" s="183" t="e">
        <f>IF(AND('Mapa de Riesgos de Corrupción'!#REF!="Alta",'Mapa de Riesgos de Corrupción'!#REF!="Menor"),CONCATENATE("R6C",'Mapa de Riesgos de Corrupción'!#REF!),"")</f>
        <v>#REF!</v>
      </c>
      <c r="S21" s="183" t="e">
        <f>IF(AND('Mapa de Riesgos de Corrupción'!#REF!="Alta",'Mapa de Riesgos de Corrupción'!#REF!="Menor"),CONCATENATE("R6C",'Mapa de Riesgos de Corrupción'!#REF!),"")</f>
        <v>#REF!</v>
      </c>
      <c r="T21" s="183" t="e">
        <f>IF(AND('Mapa de Riesgos de Corrupción'!#REF!="Alta",'Mapa de Riesgos de Corrupción'!#REF!="Menor"),CONCATENATE("R6C",'Mapa de Riesgos de Corrupción'!#REF!),"")</f>
        <v>#REF!</v>
      </c>
      <c r="U21" s="184" t="e">
        <f>IF(AND('Mapa de Riesgos de Corrupción'!#REF!="Alta",'Mapa de Riesgos de Corrupción'!#REF!="Menor"),CONCATENATE("R6C",'Mapa de Riesgos de Corrupción'!#REF!),"")</f>
        <v>#REF!</v>
      </c>
      <c r="V21" s="167" t="e">
        <f>IF(AND('Mapa de Riesgos de Corrupción'!#REF!="Alta",'Mapa de Riesgos de Corrupción'!#REF!="Moderado"),CONCATENATE("R6C",'Mapa de Riesgos de Corrupción'!#REF!),"")</f>
        <v>#REF!</v>
      </c>
      <c r="W21" s="168" t="e">
        <f>IF(AND('Mapa de Riesgos de Corrupción'!#REF!="Alta",'Mapa de Riesgos de Corrupción'!#REF!="Moderado"),CONCATENATE("R6C",'Mapa de Riesgos de Corrupción'!#REF!),"")</f>
        <v>#REF!</v>
      </c>
      <c r="X21" s="168" t="e">
        <f>IF(AND('Mapa de Riesgos de Corrupción'!#REF!="Alta",'Mapa de Riesgos de Corrupción'!#REF!="Moderado"),CONCATENATE("R6C",'Mapa de Riesgos de Corrupción'!#REF!),"")</f>
        <v>#REF!</v>
      </c>
      <c r="Y21" s="168" t="e">
        <f>IF(AND('Mapa de Riesgos de Corrupción'!#REF!="Alta",'Mapa de Riesgos de Corrupción'!#REF!="Moderado"),CONCATENATE("R6C",'Mapa de Riesgos de Corrupción'!#REF!),"")</f>
        <v>#REF!</v>
      </c>
      <c r="Z21" s="168" t="e">
        <f>IF(AND('Mapa de Riesgos de Corrupción'!#REF!="Alta",'Mapa de Riesgos de Corrupción'!#REF!="Moderado"),CONCATENATE("R6C",'Mapa de Riesgos de Corrupción'!#REF!),"")</f>
        <v>#REF!</v>
      </c>
      <c r="AA21" s="169" t="e">
        <f>IF(AND('Mapa de Riesgos de Corrupción'!#REF!="Alta",'Mapa de Riesgos de Corrupción'!#REF!="Moderado"),CONCATENATE("R6C",'Mapa de Riesgos de Corrupción'!#REF!),"")</f>
        <v>#REF!</v>
      </c>
      <c r="AB21" s="167" t="e">
        <f>IF(AND('Mapa de Riesgos de Corrupción'!#REF!="Alta",'Mapa de Riesgos de Corrupción'!#REF!="Mayor"),CONCATENATE("R6C",'Mapa de Riesgos de Corrupción'!#REF!),"")</f>
        <v>#REF!</v>
      </c>
      <c r="AC21" s="168" t="e">
        <f>IF(AND('Mapa de Riesgos de Corrupción'!#REF!="Alta",'Mapa de Riesgos de Corrupción'!#REF!="Mayor"),CONCATENATE("R6C",'Mapa de Riesgos de Corrupción'!#REF!),"")</f>
        <v>#REF!</v>
      </c>
      <c r="AD21" s="168" t="e">
        <f>IF(AND('Mapa de Riesgos de Corrupción'!#REF!="Alta",'Mapa de Riesgos de Corrupción'!#REF!="Mayor"),CONCATENATE("R6C",'Mapa de Riesgos de Corrupción'!#REF!),"")</f>
        <v>#REF!</v>
      </c>
      <c r="AE21" s="168" t="e">
        <f>IF(AND('Mapa de Riesgos de Corrupción'!#REF!="Alta",'Mapa de Riesgos de Corrupción'!#REF!="Mayor"),CONCATENATE("R6C",'Mapa de Riesgos de Corrupción'!#REF!),"")</f>
        <v>#REF!</v>
      </c>
      <c r="AF21" s="168" t="e">
        <f>IF(AND('Mapa de Riesgos de Corrupción'!#REF!="Alta",'Mapa de Riesgos de Corrupción'!#REF!="Mayor"),CONCATENATE("R6C",'Mapa de Riesgos de Corrupción'!#REF!),"")</f>
        <v>#REF!</v>
      </c>
      <c r="AG21" s="169" t="e">
        <f>IF(AND('Mapa de Riesgos de Corrupción'!#REF!="Alta",'Mapa de Riesgos de Corrupción'!#REF!="Mayor"),CONCATENATE("R6C",'Mapa de Riesgos de Corrupción'!#REF!),"")</f>
        <v>#REF!</v>
      </c>
      <c r="AH21" s="170" t="e">
        <f>IF(AND('Mapa de Riesgos de Corrupción'!#REF!="Alta",'Mapa de Riesgos de Corrupción'!#REF!="Catastrófico"),CONCATENATE("R6C",'Mapa de Riesgos de Corrupción'!#REF!),"")</f>
        <v>#REF!</v>
      </c>
      <c r="AI21" s="171" t="e">
        <f>IF(AND('Mapa de Riesgos de Corrupción'!#REF!="Alta",'Mapa de Riesgos de Corrupción'!#REF!="Catastrófico"),CONCATENATE("R6C",'Mapa de Riesgos de Corrupción'!#REF!),"")</f>
        <v>#REF!</v>
      </c>
      <c r="AJ21" s="171" t="e">
        <f>IF(AND('Mapa de Riesgos de Corrupción'!#REF!="Alta",'Mapa de Riesgos de Corrupción'!#REF!="Catastrófico"),CONCATENATE("R6C",'Mapa de Riesgos de Corrupción'!#REF!),"")</f>
        <v>#REF!</v>
      </c>
      <c r="AK21" s="171" t="e">
        <f>IF(AND('Mapa de Riesgos de Corrupción'!#REF!="Alta",'Mapa de Riesgos de Corrupción'!#REF!="Catastrófico"),CONCATENATE("R6C",'Mapa de Riesgos de Corrupción'!#REF!),"")</f>
        <v>#REF!</v>
      </c>
      <c r="AL21" s="171" t="e">
        <f>IF(AND('Mapa de Riesgos de Corrupción'!#REF!="Alta",'Mapa de Riesgos de Corrupción'!#REF!="Catastrófico"),CONCATENATE("R6C",'Mapa de Riesgos de Corrupción'!#REF!),"")</f>
        <v>#REF!</v>
      </c>
      <c r="AM21" s="172" t="e">
        <f>IF(AND('Mapa de Riesgos de Corrupción'!#REF!="Alta",'Mapa de Riesgos de Corrupción'!#REF!="Catastrófico"),CONCATENATE("R6C",'Mapa de Riesgos de Corrupción'!#REF!),"")</f>
        <v>#REF!</v>
      </c>
      <c r="AN21" s="122"/>
      <c r="AO21" s="312"/>
      <c r="AP21" s="224"/>
      <c r="AQ21" s="224"/>
      <c r="AR21" s="224"/>
      <c r="AS21" s="224"/>
      <c r="AT21" s="313"/>
      <c r="AU21" s="122"/>
      <c r="AV21" s="122"/>
      <c r="AW21" s="122"/>
      <c r="AX21" s="122"/>
      <c r="AY21" s="122"/>
      <c r="AZ21" s="122"/>
      <c r="BA21" s="122"/>
      <c r="BB21" s="122"/>
      <c r="BC21" s="122"/>
      <c r="BD21" s="122"/>
      <c r="BE21" s="122"/>
      <c r="BF21" s="122"/>
      <c r="BG21" s="122"/>
      <c r="BH21" s="122"/>
      <c r="BI21" s="122"/>
    </row>
    <row r="22" spans="1:61" ht="15" customHeight="1">
      <c r="A22" s="122"/>
      <c r="B22" s="293"/>
      <c r="C22" s="224"/>
      <c r="D22" s="265"/>
      <c r="E22" s="223"/>
      <c r="F22" s="224"/>
      <c r="G22" s="224"/>
      <c r="H22" s="224"/>
      <c r="I22" s="224"/>
      <c r="J22" s="182" t="e">
        <f>IF(AND('Mapa de Riesgos de Corrupción'!#REF!="Alta",'Mapa de Riesgos de Corrupción'!#REF!="Leve"),CONCATENATE("R7C",'Mapa de Riesgos de Corrupción'!#REF!),"")</f>
        <v>#REF!</v>
      </c>
      <c r="K22" s="183" t="str">
        <f ca="1">IF(AND('Mapa de Riesgos de Corrupción'!$AC$19="Alta",'Mapa de Riesgos de Corrupción'!$AE$19="Leve"),CONCATENATE("R7C",'Mapa de Riesgos de Corrupción'!$R$19),"")</f>
        <v/>
      </c>
      <c r="L22" s="183" t="e">
        <f>IF(AND('Mapa de Riesgos de Corrupción'!#REF!="Alta",'Mapa de Riesgos de Corrupción'!#REF!="Leve"),CONCATENATE("R7C",'Mapa de Riesgos de Corrupción'!#REF!),"")</f>
        <v>#REF!</v>
      </c>
      <c r="M22" s="183" t="str">
        <f ca="1">IF(AND('Mapa de Riesgos de Corrupción'!$AC$20="Alta",'Mapa de Riesgos de Corrupción'!$AE$20="Leve"),CONCATENATE("R7C",'Mapa de Riesgos de Corrupción'!$R$20),"")</f>
        <v/>
      </c>
      <c r="N22" s="183" t="e">
        <f>IF(AND('Mapa de Riesgos de Corrupción'!#REF!="Alta",'Mapa de Riesgos de Corrupción'!#REF!="Leve"),CONCATENATE("R7C",'Mapa de Riesgos de Corrupción'!#REF!),"")</f>
        <v>#REF!</v>
      </c>
      <c r="O22" s="184" t="e">
        <f>IF(AND('Mapa de Riesgos de Corrupción'!#REF!="Alta",'Mapa de Riesgos de Corrupción'!#REF!="Leve"),CONCATENATE("R7C",'Mapa de Riesgos de Corrupción'!#REF!),"")</f>
        <v>#REF!</v>
      </c>
      <c r="P22" s="182" t="e">
        <f>IF(AND('Mapa de Riesgos de Corrupción'!#REF!="Alta",'Mapa de Riesgos de Corrupción'!#REF!="Menor"),CONCATENATE("R7C",'Mapa de Riesgos de Corrupción'!#REF!),"")</f>
        <v>#REF!</v>
      </c>
      <c r="Q22" s="183" t="str">
        <f ca="1">IF(AND('Mapa de Riesgos de Corrupción'!$AC$19="Alta",'Mapa de Riesgos de Corrupción'!$AE$19="Menor"),CONCATENATE("R7C",'Mapa de Riesgos de Corrupción'!$R$19),"")</f>
        <v/>
      </c>
      <c r="R22" s="183" t="e">
        <f>IF(AND('Mapa de Riesgos de Corrupción'!#REF!="Alta",'Mapa de Riesgos de Corrupción'!#REF!="Menor"),CONCATENATE("R7C",'Mapa de Riesgos de Corrupción'!#REF!),"")</f>
        <v>#REF!</v>
      </c>
      <c r="S22" s="183" t="str">
        <f ca="1">IF(AND('Mapa de Riesgos de Corrupción'!$AC$20="Alta",'Mapa de Riesgos de Corrupción'!$AE$20="Menor"),CONCATENATE("R7C",'Mapa de Riesgos de Corrupción'!$R$20),"")</f>
        <v/>
      </c>
      <c r="T22" s="183" t="e">
        <f>IF(AND('Mapa de Riesgos de Corrupción'!#REF!="Alta",'Mapa de Riesgos de Corrupción'!#REF!="Menor"),CONCATENATE("R7C",'Mapa de Riesgos de Corrupción'!#REF!),"")</f>
        <v>#REF!</v>
      </c>
      <c r="U22" s="184" t="e">
        <f>IF(AND('Mapa de Riesgos de Corrupción'!#REF!="Alta",'Mapa de Riesgos de Corrupción'!#REF!="Menor"),CONCATENATE("R7C",'Mapa de Riesgos de Corrupción'!#REF!),"")</f>
        <v>#REF!</v>
      </c>
      <c r="V22" s="167" t="e">
        <f>IF(AND('Mapa de Riesgos de Corrupción'!#REF!="Alta",'Mapa de Riesgos de Corrupción'!#REF!="Moderado"),CONCATENATE("R7C",'Mapa de Riesgos de Corrupción'!#REF!),"")</f>
        <v>#REF!</v>
      </c>
      <c r="W22" s="168" t="str">
        <f ca="1">IF(AND('Mapa de Riesgos de Corrupción'!$AC$19="Alta",'Mapa de Riesgos de Corrupción'!$AE$19="Moderado"),CONCATENATE("R7C",'Mapa de Riesgos de Corrupción'!$R$19),"")</f>
        <v/>
      </c>
      <c r="X22" s="168" t="e">
        <f>IF(AND('Mapa de Riesgos de Corrupción'!#REF!="Alta",'Mapa de Riesgos de Corrupción'!#REF!="Moderado"),CONCATENATE("R7C",'Mapa de Riesgos de Corrupción'!#REF!),"")</f>
        <v>#REF!</v>
      </c>
      <c r="Y22" s="168" t="str">
        <f ca="1">IF(AND('Mapa de Riesgos de Corrupción'!$AC$20="Alta",'Mapa de Riesgos de Corrupción'!$AE$20="Moderado"),CONCATENATE("R7C",'Mapa de Riesgos de Corrupción'!$R$20),"")</f>
        <v/>
      </c>
      <c r="Z22" s="168" t="e">
        <f>IF(AND('Mapa de Riesgos de Corrupción'!#REF!="Alta",'Mapa de Riesgos de Corrupción'!#REF!="Moderado"),CONCATENATE("R7C",'Mapa de Riesgos de Corrupción'!#REF!),"")</f>
        <v>#REF!</v>
      </c>
      <c r="AA22" s="169" t="e">
        <f>IF(AND('Mapa de Riesgos de Corrupción'!#REF!="Alta",'Mapa de Riesgos de Corrupción'!#REF!="Moderado"),CONCATENATE("R7C",'Mapa de Riesgos de Corrupción'!#REF!),"")</f>
        <v>#REF!</v>
      </c>
      <c r="AB22" s="167" t="e">
        <f>IF(AND('Mapa de Riesgos de Corrupción'!#REF!="Alta",'Mapa de Riesgos de Corrupción'!#REF!="Mayor"),CONCATENATE("R7C",'Mapa de Riesgos de Corrupción'!#REF!),"")</f>
        <v>#REF!</v>
      </c>
      <c r="AC22" s="168" t="str">
        <f ca="1">IF(AND('Mapa de Riesgos de Corrupción'!$AC$19="Alta",'Mapa de Riesgos de Corrupción'!$AE$19="Mayor"),CONCATENATE("R7C",'Mapa de Riesgos de Corrupción'!$R$19),"")</f>
        <v/>
      </c>
      <c r="AD22" s="168" t="e">
        <f>IF(AND('Mapa de Riesgos de Corrupción'!#REF!="Alta",'Mapa de Riesgos de Corrupción'!#REF!="Mayor"),CONCATENATE("R7C",'Mapa de Riesgos de Corrupción'!#REF!),"")</f>
        <v>#REF!</v>
      </c>
      <c r="AE22" s="168" t="str">
        <f ca="1">IF(AND('Mapa de Riesgos de Corrupción'!$AC$20="Alta",'Mapa de Riesgos de Corrupción'!$AE$20="Mayor"),CONCATENATE("R7C",'Mapa de Riesgos de Corrupción'!$R$20),"")</f>
        <v/>
      </c>
      <c r="AF22" s="168" t="e">
        <f>IF(AND('Mapa de Riesgos de Corrupción'!#REF!="Alta",'Mapa de Riesgos de Corrupción'!#REF!="Mayor"),CONCATENATE("R7C",'Mapa de Riesgos de Corrupción'!#REF!),"")</f>
        <v>#REF!</v>
      </c>
      <c r="AG22" s="169" t="e">
        <f>IF(AND('Mapa de Riesgos de Corrupción'!#REF!="Alta",'Mapa de Riesgos de Corrupción'!#REF!="Mayor"),CONCATENATE("R7C",'Mapa de Riesgos de Corrupción'!#REF!),"")</f>
        <v>#REF!</v>
      </c>
      <c r="AH22" s="170" t="e">
        <f>IF(AND('Mapa de Riesgos de Corrupción'!#REF!="Alta",'Mapa de Riesgos de Corrupción'!#REF!="Catastrófico"),CONCATENATE("R7C",'Mapa de Riesgos de Corrupción'!#REF!),"")</f>
        <v>#REF!</v>
      </c>
      <c r="AI22" s="171" t="str">
        <f ca="1">IF(AND('Mapa de Riesgos de Corrupción'!$AC$19="Alta",'Mapa de Riesgos de Corrupción'!$AE$19="Catastrófico"),CONCATENATE("R7C",'Mapa de Riesgos de Corrupción'!$R$19),"")</f>
        <v/>
      </c>
      <c r="AJ22" s="171" t="e">
        <f>IF(AND('Mapa de Riesgos de Corrupción'!#REF!="Alta",'Mapa de Riesgos de Corrupción'!#REF!="Catastrófico"),CONCATENATE("R7C",'Mapa de Riesgos de Corrupción'!#REF!),"")</f>
        <v>#REF!</v>
      </c>
      <c r="AK22" s="171" t="str">
        <f ca="1">IF(AND('Mapa de Riesgos de Corrupción'!$AC$20="Alta",'Mapa de Riesgos de Corrupción'!$AE$20="Catastrófico"),CONCATENATE("R7C",'Mapa de Riesgos de Corrupción'!$R$20),"")</f>
        <v/>
      </c>
      <c r="AL22" s="171" t="e">
        <f>IF(AND('Mapa de Riesgos de Corrupción'!#REF!="Alta",'Mapa de Riesgos de Corrupción'!#REF!="Catastrófico"),CONCATENATE("R7C",'Mapa de Riesgos de Corrupción'!#REF!),"")</f>
        <v>#REF!</v>
      </c>
      <c r="AM22" s="172" t="e">
        <f>IF(AND('Mapa de Riesgos de Corrupción'!#REF!="Alta",'Mapa de Riesgos de Corrupción'!#REF!="Catastrófico"),CONCATENATE("R7C",'Mapa de Riesgos de Corrupción'!#REF!),"")</f>
        <v>#REF!</v>
      </c>
      <c r="AN22" s="122"/>
      <c r="AO22" s="312"/>
      <c r="AP22" s="224"/>
      <c r="AQ22" s="224"/>
      <c r="AR22" s="224"/>
      <c r="AS22" s="224"/>
      <c r="AT22" s="313"/>
      <c r="AU22" s="122"/>
      <c r="AV22" s="122"/>
      <c r="AW22" s="122"/>
      <c r="AX22" s="122"/>
      <c r="AY22" s="122"/>
      <c r="AZ22" s="122"/>
      <c r="BA22" s="122"/>
      <c r="BB22" s="122"/>
      <c r="BC22" s="122"/>
      <c r="BD22" s="122"/>
      <c r="BE22" s="122"/>
      <c r="BF22" s="122"/>
      <c r="BG22" s="122"/>
      <c r="BH22" s="122"/>
      <c r="BI22" s="122"/>
    </row>
    <row r="23" spans="1:61" ht="15" customHeight="1">
      <c r="A23" s="122"/>
      <c r="B23" s="293"/>
      <c r="C23" s="224"/>
      <c r="D23" s="265"/>
      <c r="E23" s="223"/>
      <c r="F23" s="224"/>
      <c r="G23" s="224"/>
      <c r="H23" s="224"/>
      <c r="I23" s="224"/>
      <c r="J23" s="182" t="e">
        <f>IF(AND('Mapa de Riesgos de Corrupción'!#REF!="Alta",'Mapa de Riesgos de Corrupción'!#REF!="Leve"),CONCATENATE("R8C",'Mapa de Riesgos de Corrupción'!#REF!),"")</f>
        <v>#REF!</v>
      </c>
      <c r="K23" s="183" t="e">
        <f>IF(AND('Mapa de Riesgos de Corrupción'!#REF!="Alta",'Mapa de Riesgos de Corrupción'!#REF!="Leve"),CONCATENATE("R8C",'Mapa de Riesgos de Corrupción'!#REF!),"")</f>
        <v>#REF!</v>
      </c>
      <c r="L23" s="183" t="e">
        <f>IF(AND('Mapa de Riesgos de Corrupción'!#REF!="Alta",'Mapa de Riesgos de Corrupción'!#REF!="Leve"),CONCATENATE("R8C",'Mapa de Riesgos de Corrupción'!#REF!),"")</f>
        <v>#REF!</v>
      </c>
      <c r="M23" s="183" t="e">
        <f>IF(AND('Mapa de Riesgos de Corrupción'!#REF!="Alta",'Mapa de Riesgos de Corrupción'!#REF!="Leve"),CONCATENATE("R8C",'Mapa de Riesgos de Corrupción'!#REF!),"")</f>
        <v>#REF!</v>
      </c>
      <c r="N23" s="183" t="e">
        <f>IF(AND('Mapa de Riesgos de Corrupción'!#REF!="Alta",'Mapa de Riesgos de Corrupción'!#REF!="Leve"),CONCATENATE("R8C",'Mapa de Riesgos de Corrupción'!#REF!),"")</f>
        <v>#REF!</v>
      </c>
      <c r="O23" s="184" t="e">
        <f>IF(AND('Mapa de Riesgos de Corrupción'!#REF!="Alta",'Mapa de Riesgos de Corrupción'!#REF!="Leve"),CONCATENATE("R8C",'Mapa de Riesgos de Corrupción'!#REF!),"")</f>
        <v>#REF!</v>
      </c>
      <c r="P23" s="182" t="e">
        <f>IF(AND('Mapa de Riesgos de Corrupción'!#REF!="Alta",'Mapa de Riesgos de Corrupción'!#REF!="Menor"),CONCATENATE("R8C",'Mapa de Riesgos de Corrupción'!#REF!),"")</f>
        <v>#REF!</v>
      </c>
      <c r="Q23" s="183" t="e">
        <f>IF(AND('Mapa de Riesgos de Corrupción'!#REF!="Alta",'Mapa de Riesgos de Corrupción'!#REF!="Menor"),CONCATENATE("R8C",'Mapa de Riesgos de Corrupción'!#REF!),"")</f>
        <v>#REF!</v>
      </c>
      <c r="R23" s="183" t="e">
        <f>IF(AND('Mapa de Riesgos de Corrupción'!#REF!="Alta",'Mapa de Riesgos de Corrupción'!#REF!="Menor"),CONCATENATE("R8C",'Mapa de Riesgos de Corrupción'!#REF!),"")</f>
        <v>#REF!</v>
      </c>
      <c r="S23" s="183" t="e">
        <f>IF(AND('Mapa de Riesgos de Corrupción'!#REF!="Alta",'Mapa de Riesgos de Corrupción'!#REF!="Menor"),CONCATENATE("R8C",'Mapa de Riesgos de Corrupción'!#REF!),"")</f>
        <v>#REF!</v>
      </c>
      <c r="T23" s="183" t="e">
        <f>IF(AND('Mapa de Riesgos de Corrupción'!#REF!="Alta",'Mapa de Riesgos de Corrupción'!#REF!="Menor"),CONCATENATE("R8C",'Mapa de Riesgos de Corrupción'!#REF!),"")</f>
        <v>#REF!</v>
      </c>
      <c r="U23" s="184" t="e">
        <f>IF(AND('Mapa de Riesgos de Corrupción'!#REF!="Alta",'Mapa de Riesgos de Corrupción'!#REF!="Menor"),CONCATENATE("R8C",'Mapa de Riesgos de Corrupción'!#REF!),"")</f>
        <v>#REF!</v>
      </c>
      <c r="V23" s="167" t="e">
        <f>IF(AND('Mapa de Riesgos de Corrupción'!#REF!="Alta",'Mapa de Riesgos de Corrupción'!#REF!="Moderado"),CONCATENATE("R8C",'Mapa de Riesgos de Corrupción'!#REF!),"")</f>
        <v>#REF!</v>
      </c>
      <c r="W23" s="168" t="e">
        <f>IF(AND('Mapa de Riesgos de Corrupción'!#REF!="Alta",'Mapa de Riesgos de Corrupción'!#REF!="Moderado"),CONCATENATE("R8C",'Mapa de Riesgos de Corrupción'!#REF!),"")</f>
        <v>#REF!</v>
      </c>
      <c r="X23" s="168" t="e">
        <f>IF(AND('Mapa de Riesgos de Corrupción'!#REF!="Alta",'Mapa de Riesgos de Corrupción'!#REF!="Moderado"),CONCATENATE("R8C",'Mapa de Riesgos de Corrupción'!#REF!),"")</f>
        <v>#REF!</v>
      </c>
      <c r="Y23" s="168" t="e">
        <f>IF(AND('Mapa de Riesgos de Corrupción'!#REF!="Alta",'Mapa de Riesgos de Corrupción'!#REF!="Moderado"),CONCATENATE("R8C",'Mapa de Riesgos de Corrupción'!#REF!),"")</f>
        <v>#REF!</v>
      </c>
      <c r="Z23" s="168" t="e">
        <f>IF(AND('Mapa de Riesgos de Corrupción'!#REF!="Alta",'Mapa de Riesgos de Corrupción'!#REF!="Moderado"),CONCATENATE("R8C",'Mapa de Riesgos de Corrupción'!#REF!),"")</f>
        <v>#REF!</v>
      </c>
      <c r="AA23" s="169" t="e">
        <f>IF(AND('Mapa de Riesgos de Corrupción'!#REF!="Alta",'Mapa de Riesgos de Corrupción'!#REF!="Moderado"),CONCATENATE("R8C",'Mapa de Riesgos de Corrupción'!#REF!),"")</f>
        <v>#REF!</v>
      </c>
      <c r="AB23" s="167" t="e">
        <f>IF(AND('Mapa de Riesgos de Corrupción'!#REF!="Alta",'Mapa de Riesgos de Corrupción'!#REF!="Mayor"),CONCATENATE("R8C",'Mapa de Riesgos de Corrupción'!#REF!),"")</f>
        <v>#REF!</v>
      </c>
      <c r="AC23" s="168" t="e">
        <f>IF(AND('Mapa de Riesgos de Corrupción'!#REF!="Alta",'Mapa de Riesgos de Corrupción'!#REF!="Mayor"),CONCATENATE("R8C",'Mapa de Riesgos de Corrupción'!#REF!),"")</f>
        <v>#REF!</v>
      </c>
      <c r="AD23" s="168" t="e">
        <f>IF(AND('Mapa de Riesgos de Corrupción'!#REF!="Alta",'Mapa de Riesgos de Corrupción'!#REF!="Mayor"),CONCATENATE("R8C",'Mapa de Riesgos de Corrupción'!#REF!),"")</f>
        <v>#REF!</v>
      </c>
      <c r="AE23" s="168" t="e">
        <f>IF(AND('Mapa de Riesgos de Corrupción'!#REF!="Alta",'Mapa de Riesgos de Corrupción'!#REF!="Mayor"),CONCATENATE("R8C",'Mapa de Riesgos de Corrupción'!#REF!),"")</f>
        <v>#REF!</v>
      </c>
      <c r="AF23" s="168" t="e">
        <f>IF(AND('Mapa de Riesgos de Corrupción'!#REF!="Alta",'Mapa de Riesgos de Corrupción'!#REF!="Mayor"),CONCATENATE("R8C",'Mapa de Riesgos de Corrupción'!#REF!),"")</f>
        <v>#REF!</v>
      </c>
      <c r="AG23" s="169" t="e">
        <f>IF(AND('Mapa de Riesgos de Corrupción'!#REF!="Alta",'Mapa de Riesgos de Corrupción'!#REF!="Mayor"),CONCATENATE("R8C",'Mapa de Riesgos de Corrupción'!#REF!),"")</f>
        <v>#REF!</v>
      </c>
      <c r="AH23" s="170" t="e">
        <f>IF(AND('Mapa de Riesgos de Corrupción'!#REF!="Alta",'Mapa de Riesgos de Corrupción'!#REF!="Catastrófico"),CONCATENATE("R8C",'Mapa de Riesgos de Corrupción'!#REF!),"")</f>
        <v>#REF!</v>
      </c>
      <c r="AI23" s="171" t="e">
        <f>IF(AND('Mapa de Riesgos de Corrupción'!#REF!="Alta",'Mapa de Riesgos de Corrupción'!#REF!="Catastrófico"),CONCATENATE("R8C",'Mapa de Riesgos de Corrupción'!#REF!),"")</f>
        <v>#REF!</v>
      </c>
      <c r="AJ23" s="171" t="e">
        <f>IF(AND('Mapa de Riesgos de Corrupción'!#REF!="Alta",'Mapa de Riesgos de Corrupción'!#REF!="Catastrófico"),CONCATENATE("R8C",'Mapa de Riesgos de Corrupción'!#REF!),"")</f>
        <v>#REF!</v>
      </c>
      <c r="AK23" s="171" t="e">
        <f>IF(AND('Mapa de Riesgos de Corrupción'!#REF!="Alta",'Mapa de Riesgos de Corrupción'!#REF!="Catastrófico"),CONCATENATE("R8C",'Mapa de Riesgos de Corrupción'!#REF!),"")</f>
        <v>#REF!</v>
      </c>
      <c r="AL23" s="171" t="e">
        <f>IF(AND('Mapa de Riesgos de Corrupción'!#REF!="Alta",'Mapa de Riesgos de Corrupción'!#REF!="Catastrófico"),CONCATENATE("R8C",'Mapa de Riesgos de Corrupción'!#REF!),"")</f>
        <v>#REF!</v>
      </c>
      <c r="AM23" s="172" t="e">
        <f>IF(AND('Mapa de Riesgos de Corrupción'!#REF!="Alta",'Mapa de Riesgos de Corrupción'!#REF!="Catastrófico"),CONCATENATE("R8C",'Mapa de Riesgos de Corrupción'!#REF!),"")</f>
        <v>#REF!</v>
      </c>
      <c r="AN23" s="122"/>
      <c r="AO23" s="312"/>
      <c r="AP23" s="224"/>
      <c r="AQ23" s="224"/>
      <c r="AR23" s="224"/>
      <c r="AS23" s="224"/>
      <c r="AT23" s="313"/>
      <c r="AU23" s="122"/>
      <c r="AV23" s="122"/>
      <c r="AW23" s="122"/>
      <c r="AX23" s="122"/>
      <c r="AY23" s="122"/>
      <c r="AZ23" s="122"/>
      <c r="BA23" s="122"/>
      <c r="BB23" s="122"/>
      <c r="BC23" s="122"/>
      <c r="BD23" s="122"/>
      <c r="BE23" s="122"/>
      <c r="BF23" s="122"/>
      <c r="BG23" s="122"/>
      <c r="BH23" s="122"/>
      <c r="BI23" s="122"/>
    </row>
    <row r="24" spans="1:61" ht="15" customHeight="1">
      <c r="A24" s="122"/>
      <c r="B24" s="293"/>
      <c r="C24" s="224"/>
      <c r="D24" s="265"/>
      <c r="E24" s="223"/>
      <c r="F24" s="224"/>
      <c r="G24" s="224"/>
      <c r="H24" s="224"/>
      <c r="I24" s="224"/>
      <c r="J24" s="182" t="e">
        <f>IF(AND('Mapa de Riesgos de Corrupción'!#REF!="Alta",'Mapa de Riesgos de Corrupción'!#REF!="Leve"),CONCATENATE("R9C",'Mapa de Riesgos de Corrupción'!#REF!),"")</f>
        <v>#REF!</v>
      </c>
      <c r="K24" s="183" t="e">
        <f>IF(AND('Mapa de Riesgos de Corrupción'!#REF!="Alta",'Mapa de Riesgos de Corrupción'!#REF!="Leve"),CONCATENATE("R9C",'Mapa de Riesgos de Corrupción'!#REF!),"")</f>
        <v>#REF!</v>
      </c>
      <c r="L24" s="183" t="e">
        <f>IF(AND('Mapa de Riesgos de Corrupción'!#REF!="Alta",'Mapa de Riesgos de Corrupción'!#REF!="Leve"),CONCATENATE("R9C",'Mapa de Riesgos de Corrupción'!#REF!),"")</f>
        <v>#REF!</v>
      </c>
      <c r="M24" s="183" t="e">
        <f>IF(AND('Mapa de Riesgos de Corrupción'!#REF!="Alta",'Mapa de Riesgos de Corrupción'!#REF!="Leve"),CONCATENATE("R9C",'Mapa de Riesgos de Corrupción'!#REF!),"")</f>
        <v>#REF!</v>
      </c>
      <c r="N24" s="183" t="e">
        <f>IF(AND('Mapa de Riesgos de Corrupción'!#REF!="Alta",'Mapa de Riesgos de Corrupción'!#REF!="Leve"),CONCATENATE("R9C",'Mapa de Riesgos de Corrupción'!#REF!),"")</f>
        <v>#REF!</v>
      </c>
      <c r="O24" s="184" t="e">
        <f>IF(AND('Mapa de Riesgos de Corrupción'!#REF!="Alta",'Mapa de Riesgos de Corrupción'!#REF!="Leve"),CONCATENATE("R9C",'Mapa de Riesgos de Corrupción'!#REF!),"")</f>
        <v>#REF!</v>
      </c>
      <c r="P24" s="182" t="e">
        <f>IF(AND('Mapa de Riesgos de Corrupción'!#REF!="Alta",'Mapa de Riesgos de Corrupción'!#REF!="Menor"),CONCATENATE("R9C",'Mapa de Riesgos de Corrupción'!#REF!),"")</f>
        <v>#REF!</v>
      </c>
      <c r="Q24" s="183" t="e">
        <f>IF(AND('Mapa de Riesgos de Corrupción'!#REF!="Alta",'Mapa de Riesgos de Corrupción'!#REF!="Menor"),CONCATENATE("R9C",'Mapa de Riesgos de Corrupción'!#REF!),"")</f>
        <v>#REF!</v>
      </c>
      <c r="R24" s="183" t="e">
        <f>IF(AND('Mapa de Riesgos de Corrupción'!#REF!="Alta",'Mapa de Riesgos de Corrupción'!#REF!="Menor"),CONCATENATE("R9C",'Mapa de Riesgos de Corrupción'!#REF!),"")</f>
        <v>#REF!</v>
      </c>
      <c r="S24" s="183" t="e">
        <f>IF(AND('Mapa de Riesgos de Corrupción'!#REF!="Alta",'Mapa de Riesgos de Corrupción'!#REF!="Menor"),CONCATENATE("R9C",'Mapa de Riesgos de Corrupción'!#REF!),"")</f>
        <v>#REF!</v>
      </c>
      <c r="T24" s="183" t="e">
        <f>IF(AND('Mapa de Riesgos de Corrupción'!#REF!="Alta",'Mapa de Riesgos de Corrupción'!#REF!="Menor"),CONCATENATE("R9C",'Mapa de Riesgos de Corrupción'!#REF!),"")</f>
        <v>#REF!</v>
      </c>
      <c r="U24" s="184" t="e">
        <f>IF(AND('Mapa de Riesgos de Corrupción'!#REF!="Alta",'Mapa de Riesgos de Corrupción'!#REF!="Menor"),CONCATENATE("R9C",'Mapa de Riesgos de Corrupción'!#REF!),"")</f>
        <v>#REF!</v>
      </c>
      <c r="V24" s="167" t="e">
        <f>IF(AND('Mapa de Riesgos de Corrupción'!#REF!="Alta",'Mapa de Riesgos de Corrupción'!#REF!="Moderado"),CONCATENATE("R9C",'Mapa de Riesgos de Corrupción'!#REF!),"")</f>
        <v>#REF!</v>
      </c>
      <c r="W24" s="168" t="e">
        <f>IF(AND('Mapa de Riesgos de Corrupción'!#REF!="Alta",'Mapa de Riesgos de Corrupción'!#REF!="Moderado"),CONCATENATE("R9C",'Mapa de Riesgos de Corrupción'!#REF!),"")</f>
        <v>#REF!</v>
      </c>
      <c r="X24" s="168" t="e">
        <f>IF(AND('Mapa de Riesgos de Corrupción'!#REF!="Alta",'Mapa de Riesgos de Corrupción'!#REF!="Moderado"),CONCATENATE("R9C",'Mapa de Riesgos de Corrupción'!#REF!),"")</f>
        <v>#REF!</v>
      </c>
      <c r="Y24" s="168" t="e">
        <f>IF(AND('Mapa de Riesgos de Corrupción'!#REF!="Alta",'Mapa de Riesgos de Corrupción'!#REF!="Moderado"),CONCATENATE("R9C",'Mapa de Riesgos de Corrupción'!#REF!),"")</f>
        <v>#REF!</v>
      </c>
      <c r="Z24" s="168" t="e">
        <f>IF(AND('Mapa de Riesgos de Corrupción'!#REF!="Alta",'Mapa de Riesgos de Corrupción'!#REF!="Moderado"),CONCATENATE("R9C",'Mapa de Riesgos de Corrupción'!#REF!),"")</f>
        <v>#REF!</v>
      </c>
      <c r="AA24" s="169" t="e">
        <f>IF(AND('Mapa de Riesgos de Corrupción'!#REF!="Alta",'Mapa de Riesgos de Corrupción'!#REF!="Moderado"),CONCATENATE("R9C",'Mapa de Riesgos de Corrupción'!#REF!),"")</f>
        <v>#REF!</v>
      </c>
      <c r="AB24" s="167" t="e">
        <f>IF(AND('Mapa de Riesgos de Corrupción'!#REF!="Alta",'Mapa de Riesgos de Corrupción'!#REF!="Mayor"),CONCATENATE("R9C",'Mapa de Riesgos de Corrupción'!#REF!),"")</f>
        <v>#REF!</v>
      </c>
      <c r="AC24" s="168" t="e">
        <f>IF(AND('Mapa de Riesgos de Corrupción'!#REF!="Alta",'Mapa de Riesgos de Corrupción'!#REF!="Mayor"),CONCATENATE("R9C",'Mapa de Riesgos de Corrupción'!#REF!),"")</f>
        <v>#REF!</v>
      </c>
      <c r="AD24" s="168" t="e">
        <f>IF(AND('Mapa de Riesgos de Corrupción'!#REF!="Alta",'Mapa de Riesgos de Corrupción'!#REF!="Mayor"),CONCATENATE("R9C",'Mapa de Riesgos de Corrupción'!#REF!),"")</f>
        <v>#REF!</v>
      </c>
      <c r="AE24" s="168" t="e">
        <f>IF(AND('Mapa de Riesgos de Corrupción'!#REF!="Alta",'Mapa de Riesgos de Corrupción'!#REF!="Mayor"),CONCATENATE("R9C",'Mapa de Riesgos de Corrupción'!#REF!),"")</f>
        <v>#REF!</v>
      </c>
      <c r="AF24" s="168" t="e">
        <f>IF(AND('Mapa de Riesgos de Corrupción'!#REF!="Alta",'Mapa de Riesgos de Corrupción'!#REF!="Mayor"),CONCATENATE("R9C",'Mapa de Riesgos de Corrupción'!#REF!),"")</f>
        <v>#REF!</v>
      </c>
      <c r="AG24" s="169" t="e">
        <f>IF(AND('Mapa de Riesgos de Corrupción'!#REF!="Alta",'Mapa de Riesgos de Corrupción'!#REF!="Mayor"),CONCATENATE("R9C",'Mapa de Riesgos de Corrupción'!#REF!),"")</f>
        <v>#REF!</v>
      </c>
      <c r="AH24" s="170" t="e">
        <f>IF(AND('Mapa de Riesgos de Corrupción'!#REF!="Alta",'Mapa de Riesgos de Corrupción'!#REF!="Catastrófico"),CONCATENATE("R9C",'Mapa de Riesgos de Corrupción'!#REF!),"")</f>
        <v>#REF!</v>
      </c>
      <c r="AI24" s="171" t="e">
        <f>IF(AND('Mapa de Riesgos de Corrupción'!#REF!="Alta",'Mapa de Riesgos de Corrupción'!#REF!="Catastrófico"),CONCATENATE("R9C",'Mapa de Riesgos de Corrupción'!#REF!),"")</f>
        <v>#REF!</v>
      </c>
      <c r="AJ24" s="171" t="e">
        <f>IF(AND('Mapa de Riesgos de Corrupción'!#REF!="Alta",'Mapa de Riesgos de Corrupción'!#REF!="Catastrófico"),CONCATENATE("R9C",'Mapa de Riesgos de Corrupción'!#REF!),"")</f>
        <v>#REF!</v>
      </c>
      <c r="AK24" s="171" t="e">
        <f>IF(AND('Mapa de Riesgos de Corrupción'!#REF!="Alta",'Mapa de Riesgos de Corrupción'!#REF!="Catastrófico"),CONCATENATE("R9C",'Mapa de Riesgos de Corrupción'!#REF!),"")</f>
        <v>#REF!</v>
      </c>
      <c r="AL24" s="171" t="e">
        <f>IF(AND('Mapa de Riesgos de Corrupción'!#REF!="Alta",'Mapa de Riesgos de Corrupción'!#REF!="Catastrófico"),CONCATENATE("R9C",'Mapa de Riesgos de Corrupción'!#REF!),"")</f>
        <v>#REF!</v>
      </c>
      <c r="AM24" s="172" t="e">
        <f>IF(AND('Mapa de Riesgos de Corrupción'!#REF!="Alta",'Mapa de Riesgos de Corrupción'!#REF!="Catastrófico"),CONCATENATE("R9C",'Mapa de Riesgos de Corrupción'!#REF!),"")</f>
        <v>#REF!</v>
      </c>
      <c r="AN24" s="122"/>
      <c r="AO24" s="312"/>
      <c r="AP24" s="224"/>
      <c r="AQ24" s="224"/>
      <c r="AR24" s="224"/>
      <c r="AS24" s="224"/>
      <c r="AT24" s="313"/>
      <c r="AU24" s="122"/>
      <c r="AV24" s="122"/>
      <c r="AW24" s="122"/>
      <c r="AX24" s="122"/>
      <c r="AY24" s="122"/>
      <c r="AZ24" s="122"/>
      <c r="BA24" s="122"/>
      <c r="BB24" s="122"/>
      <c r="BC24" s="122"/>
      <c r="BD24" s="122"/>
      <c r="BE24" s="122"/>
      <c r="BF24" s="122"/>
      <c r="BG24" s="122"/>
      <c r="BH24" s="122"/>
      <c r="BI24" s="122"/>
    </row>
    <row r="25" spans="1:61" ht="15.75" customHeight="1">
      <c r="A25" s="122"/>
      <c r="B25" s="293"/>
      <c r="C25" s="224"/>
      <c r="D25" s="265"/>
      <c r="E25" s="225"/>
      <c r="F25" s="226"/>
      <c r="G25" s="226"/>
      <c r="H25" s="226"/>
      <c r="I25" s="226"/>
      <c r="J25" s="185" t="e">
        <f>IF(AND('Mapa de Riesgos de Corrupción'!#REF!="Alta",'Mapa de Riesgos de Corrupción'!#REF!="Leve"),CONCATENATE("R10C",'Mapa de Riesgos de Corrupción'!#REF!),"")</f>
        <v>#REF!</v>
      </c>
      <c r="K25" s="186" t="e">
        <f>IF(AND('Mapa de Riesgos de Corrupción'!#REF!="Alta",'Mapa de Riesgos de Corrupción'!#REF!="Leve"),CONCATENATE("R10C",'Mapa de Riesgos de Corrupción'!#REF!),"")</f>
        <v>#REF!</v>
      </c>
      <c r="L25" s="186" t="e">
        <f>IF(AND('Mapa de Riesgos de Corrupción'!#REF!="Alta",'Mapa de Riesgos de Corrupción'!#REF!="Leve"),CONCATENATE("R10C",'Mapa de Riesgos de Corrupción'!#REF!),"")</f>
        <v>#REF!</v>
      </c>
      <c r="M25" s="186" t="e">
        <f>IF(AND('Mapa de Riesgos de Corrupción'!#REF!="Alta",'Mapa de Riesgos de Corrupción'!#REF!="Leve"),CONCATENATE("R10C",'Mapa de Riesgos de Corrupción'!#REF!),"")</f>
        <v>#REF!</v>
      </c>
      <c r="N25" s="186" t="e">
        <f>IF(AND('Mapa de Riesgos de Corrupción'!#REF!="Alta",'Mapa de Riesgos de Corrupción'!#REF!="Leve"),CONCATENATE("R10C",'Mapa de Riesgos de Corrupción'!#REF!),"")</f>
        <v>#REF!</v>
      </c>
      <c r="O25" s="187" t="e">
        <f>IF(AND('Mapa de Riesgos de Corrupción'!#REF!="Alta",'Mapa de Riesgos de Corrupción'!#REF!="Leve"),CONCATENATE("R10C",'Mapa de Riesgos de Corrupción'!#REF!),"")</f>
        <v>#REF!</v>
      </c>
      <c r="P25" s="185" t="e">
        <f>IF(AND('Mapa de Riesgos de Corrupción'!#REF!="Alta",'Mapa de Riesgos de Corrupción'!#REF!="Menor"),CONCATENATE("R10C",'Mapa de Riesgos de Corrupción'!#REF!),"")</f>
        <v>#REF!</v>
      </c>
      <c r="Q25" s="186" t="e">
        <f>IF(AND('Mapa de Riesgos de Corrupción'!#REF!="Alta",'Mapa de Riesgos de Corrupción'!#REF!="Menor"),CONCATENATE("R10C",'Mapa de Riesgos de Corrupción'!#REF!),"")</f>
        <v>#REF!</v>
      </c>
      <c r="R25" s="186" t="e">
        <f>IF(AND('Mapa de Riesgos de Corrupción'!#REF!="Alta",'Mapa de Riesgos de Corrupción'!#REF!="Menor"),CONCATENATE("R10C",'Mapa de Riesgos de Corrupción'!#REF!),"")</f>
        <v>#REF!</v>
      </c>
      <c r="S25" s="186" t="e">
        <f>IF(AND('Mapa de Riesgos de Corrupción'!#REF!="Alta",'Mapa de Riesgos de Corrupción'!#REF!="Menor"),CONCATENATE("R10C",'Mapa de Riesgos de Corrupción'!#REF!),"")</f>
        <v>#REF!</v>
      </c>
      <c r="T25" s="186" t="e">
        <f>IF(AND('Mapa de Riesgos de Corrupción'!#REF!="Alta",'Mapa de Riesgos de Corrupción'!#REF!="Menor"),CONCATENATE("R10C",'Mapa de Riesgos de Corrupción'!#REF!),"")</f>
        <v>#REF!</v>
      </c>
      <c r="U25" s="187" t="e">
        <f>IF(AND('Mapa de Riesgos de Corrupción'!#REF!="Alta",'Mapa de Riesgos de Corrupción'!#REF!="Menor"),CONCATENATE("R10C",'Mapa de Riesgos de Corrupción'!#REF!),"")</f>
        <v>#REF!</v>
      </c>
      <c r="V25" s="173" t="e">
        <f>IF(AND('Mapa de Riesgos de Corrupción'!#REF!="Alta",'Mapa de Riesgos de Corrupción'!#REF!="Moderado"),CONCATENATE("R10C",'Mapa de Riesgos de Corrupción'!#REF!),"")</f>
        <v>#REF!</v>
      </c>
      <c r="W25" s="174" t="e">
        <f>IF(AND('Mapa de Riesgos de Corrupción'!#REF!="Alta",'Mapa de Riesgos de Corrupción'!#REF!="Moderado"),CONCATENATE("R10C",'Mapa de Riesgos de Corrupción'!#REF!),"")</f>
        <v>#REF!</v>
      </c>
      <c r="X25" s="174" t="e">
        <f>IF(AND('Mapa de Riesgos de Corrupción'!#REF!="Alta",'Mapa de Riesgos de Corrupción'!#REF!="Moderado"),CONCATENATE("R10C",'Mapa de Riesgos de Corrupción'!#REF!),"")</f>
        <v>#REF!</v>
      </c>
      <c r="Y25" s="174" t="e">
        <f>IF(AND('Mapa de Riesgos de Corrupción'!#REF!="Alta",'Mapa de Riesgos de Corrupción'!#REF!="Moderado"),CONCATENATE("R10C",'Mapa de Riesgos de Corrupción'!#REF!),"")</f>
        <v>#REF!</v>
      </c>
      <c r="Z25" s="174" t="e">
        <f>IF(AND('Mapa de Riesgos de Corrupción'!#REF!="Alta",'Mapa de Riesgos de Corrupción'!#REF!="Moderado"),CONCATENATE("R10C",'Mapa de Riesgos de Corrupción'!#REF!),"")</f>
        <v>#REF!</v>
      </c>
      <c r="AA25" s="175" t="e">
        <f>IF(AND('Mapa de Riesgos de Corrupción'!#REF!="Alta",'Mapa de Riesgos de Corrupción'!#REF!="Moderado"),CONCATENATE("R10C",'Mapa de Riesgos de Corrupción'!#REF!),"")</f>
        <v>#REF!</v>
      </c>
      <c r="AB25" s="173" t="e">
        <f>IF(AND('Mapa de Riesgos de Corrupción'!#REF!="Alta",'Mapa de Riesgos de Corrupción'!#REF!="Mayor"),CONCATENATE("R10C",'Mapa de Riesgos de Corrupción'!#REF!),"")</f>
        <v>#REF!</v>
      </c>
      <c r="AC25" s="174" t="e">
        <f>IF(AND('Mapa de Riesgos de Corrupción'!#REF!="Alta",'Mapa de Riesgos de Corrupción'!#REF!="Mayor"),CONCATENATE("R10C",'Mapa de Riesgos de Corrupción'!#REF!),"")</f>
        <v>#REF!</v>
      </c>
      <c r="AD25" s="174" t="e">
        <f>IF(AND('Mapa de Riesgos de Corrupción'!#REF!="Alta",'Mapa de Riesgos de Corrupción'!#REF!="Mayor"),CONCATENATE("R10C",'Mapa de Riesgos de Corrupción'!#REF!),"")</f>
        <v>#REF!</v>
      </c>
      <c r="AE25" s="174" t="e">
        <f>IF(AND('Mapa de Riesgos de Corrupción'!#REF!="Alta",'Mapa de Riesgos de Corrupción'!#REF!="Mayor"),CONCATENATE("R10C",'Mapa de Riesgos de Corrupción'!#REF!),"")</f>
        <v>#REF!</v>
      </c>
      <c r="AF25" s="174" t="e">
        <f>IF(AND('Mapa de Riesgos de Corrupción'!#REF!="Alta",'Mapa de Riesgos de Corrupción'!#REF!="Mayor"),CONCATENATE("R10C",'Mapa de Riesgos de Corrupción'!#REF!),"")</f>
        <v>#REF!</v>
      </c>
      <c r="AG25" s="175" t="e">
        <f>IF(AND('Mapa de Riesgos de Corrupción'!#REF!="Alta",'Mapa de Riesgos de Corrupción'!#REF!="Mayor"),CONCATENATE("R10C",'Mapa de Riesgos de Corrupción'!#REF!),"")</f>
        <v>#REF!</v>
      </c>
      <c r="AH25" s="176" t="e">
        <f>IF(AND('Mapa de Riesgos de Corrupción'!#REF!="Alta",'Mapa de Riesgos de Corrupción'!#REF!="Catastrófico"),CONCATENATE("R10C",'Mapa de Riesgos de Corrupción'!#REF!),"")</f>
        <v>#REF!</v>
      </c>
      <c r="AI25" s="177" t="e">
        <f>IF(AND('Mapa de Riesgos de Corrupción'!#REF!="Alta",'Mapa de Riesgos de Corrupción'!#REF!="Catastrófico"),CONCATENATE("R10C",'Mapa de Riesgos de Corrupción'!#REF!),"")</f>
        <v>#REF!</v>
      </c>
      <c r="AJ25" s="177" t="e">
        <f>IF(AND('Mapa de Riesgos de Corrupción'!#REF!="Alta",'Mapa de Riesgos de Corrupción'!#REF!="Catastrófico"),CONCATENATE("R10C",'Mapa de Riesgos de Corrupción'!#REF!),"")</f>
        <v>#REF!</v>
      </c>
      <c r="AK25" s="177" t="e">
        <f>IF(AND('Mapa de Riesgos de Corrupción'!#REF!="Alta",'Mapa de Riesgos de Corrupción'!#REF!="Catastrófico"),CONCATENATE("R10C",'Mapa de Riesgos de Corrupción'!#REF!),"")</f>
        <v>#REF!</v>
      </c>
      <c r="AL25" s="177" t="e">
        <f>IF(AND('Mapa de Riesgos de Corrupción'!#REF!="Alta",'Mapa de Riesgos de Corrupción'!#REF!="Catastrófico"),CONCATENATE("R10C",'Mapa de Riesgos de Corrupción'!#REF!),"")</f>
        <v>#REF!</v>
      </c>
      <c r="AM25" s="178" t="e">
        <f>IF(AND('Mapa de Riesgos de Corrupción'!#REF!="Alta",'Mapa de Riesgos de Corrupción'!#REF!="Catastrófico"),CONCATENATE("R10C",'Mapa de Riesgos de Corrupción'!#REF!),"")</f>
        <v>#REF!</v>
      </c>
      <c r="AN25" s="122"/>
      <c r="AO25" s="314"/>
      <c r="AP25" s="315"/>
      <c r="AQ25" s="315"/>
      <c r="AR25" s="315"/>
      <c r="AS25" s="315"/>
      <c r="AT25" s="316"/>
      <c r="AU25" s="122"/>
      <c r="AV25" s="122"/>
      <c r="AW25" s="122"/>
      <c r="AX25" s="122"/>
      <c r="AY25" s="122"/>
      <c r="AZ25" s="122"/>
      <c r="BA25" s="122"/>
      <c r="BB25" s="122"/>
      <c r="BC25" s="122"/>
      <c r="BD25" s="122"/>
      <c r="BE25" s="122"/>
      <c r="BF25" s="122"/>
      <c r="BG25" s="122"/>
      <c r="BH25" s="122"/>
      <c r="BI25" s="122"/>
    </row>
    <row r="26" spans="1:61" ht="15" customHeight="1">
      <c r="A26" s="122"/>
      <c r="B26" s="293"/>
      <c r="C26" s="224"/>
      <c r="D26" s="265"/>
      <c r="E26" s="335" t="s">
        <v>504</v>
      </c>
      <c r="F26" s="222"/>
      <c r="G26" s="222"/>
      <c r="H26" s="222"/>
      <c r="I26" s="303"/>
      <c r="J26" s="179" t="e">
        <f>IF(AND('Mapa de Riesgos de Corrupción'!#REF!="Media",'Mapa de Riesgos de Corrupción'!#REF!="Leve"),CONCATENATE("R1C",'Mapa de Riesgos de Corrupción'!#REF!),"")</f>
        <v>#REF!</v>
      </c>
      <c r="K26" s="180" t="e">
        <f>IF(AND('Mapa de Riesgos de Corrupción'!#REF!="Media",'Mapa de Riesgos de Corrupción'!#REF!="Leve"),CONCATENATE("R1C",'Mapa de Riesgos de Corrupción'!#REF!),"")</f>
        <v>#REF!</v>
      </c>
      <c r="L26" s="180" t="e">
        <f>IF(AND('Mapa de Riesgos de Corrupción'!#REF!="Media",'Mapa de Riesgos de Corrupción'!#REF!="Leve"),CONCATENATE("R1C",'Mapa de Riesgos de Corrupción'!#REF!),"")</f>
        <v>#REF!</v>
      </c>
      <c r="M26" s="180" t="e">
        <f>IF(AND('Mapa de Riesgos de Corrupción'!#REF!="Media",'Mapa de Riesgos de Corrupción'!#REF!="Leve"),CONCATENATE("R1C",'Mapa de Riesgos de Corrupción'!#REF!),"")</f>
        <v>#REF!</v>
      </c>
      <c r="N26" s="180" t="str">
        <f ca="1">IF(AND('Mapa de Riesgos de Corrupción'!$AC$8="Media",'Mapa de Riesgos de Corrupción'!$AE$8="Leve"),CONCATENATE("R1C",'Mapa de Riesgos de Corrupción'!$R$8),"")</f>
        <v/>
      </c>
      <c r="O26" s="181" t="str">
        <f ca="1">IF(AND('Mapa de Riesgos de Corrupción'!$AC$9="Media",'Mapa de Riesgos de Corrupción'!$AE$9="Leve"),CONCATENATE("R1C",'Mapa de Riesgos de Corrupción'!$R$9),"")</f>
        <v/>
      </c>
      <c r="P26" s="179" t="e">
        <f>IF(AND('Mapa de Riesgos de Corrupción'!#REF!="Media",'Mapa de Riesgos de Corrupción'!#REF!="Menor"),CONCATENATE("R1C",'Mapa de Riesgos de Corrupción'!#REF!),"")</f>
        <v>#REF!</v>
      </c>
      <c r="Q26" s="180" t="e">
        <f>IF(AND('Mapa de Riesgos de Corrupción'!#REF!="Media",'Mapa de Riesgos de Corrupción'!#REF!="Menor"),CONCATENATE("R1C",'Mapa de Riesgos de Corrupción'!#REF!),"")</f>
        <v>#REF!</v>
      </c>
      <c r="R26" s="180" t="e">
        <f>IF(AND('Mapa de Riesgos de Corrupción'!#REF!="Media",'Mapa de Riesgos de Corrupción'!#REF!="Menor"),CONCATENATE("R1C",'Mapa de Riesgos de Corrupción'!#REF!),"")</f>
        <v>#REF!</v>
      </c>
      <c r="S26" s="180" t="e">
        <f>IF(AND('Mapa de Riesgos de Corrupción'!#REF!="Media",'Mapa de Riesgos de Corrupción'!#REF!="Menor"),CONCATENATE("R1C",'Mapa de Riesgos de Corrupción'!#REF!),"")</f>
        <v>#REF!</v>
      </c>
      <c r="T26" s="180" t="str">
        <f ca="1">IF(AND('Mapa de Riesgos de Corrupción'!$AC$8="Media",'Mapa de Riesgos de Corrupción'!$AE$8="Menor"),CONCATENATE("R1C",'Mapa de Riesgos de Corrupción'!$R$8),"")</f>
        <v/>
      </c>
      <c r="U26" s="181" t="str">
        <f ca="1">IF(AND('Mapa de Riesgos de Corrupción'!$AC$9="Media",'Mapa de Riesgos de Corrupción'!$AE$9="Menor"),CONCATENATE("R1C",'Mapa de Riesgos de Corrupción'!$R$9),"")</f>
        <v/>
      </c>
      <c r="V26" s="179" t="e">
        <f>IF(AND('Mapa de Riesgos de Corrupción'!#REF!="Media",'Mapa de Riesgos de Corrupción'!#REF!="Moderado"),CONCATENATE("R1C",'Mapa de Riesgos de Corrupción'!#REF!),"")</f>
        <v>#REF!</v>
      </c>
      <c r="W26" s="180" t="e">
        <f>IF(AND('Mapa de Riesgos de Corrupción'!#REF!="Media",'Mapa de Riesgos de Corrupción'!#REF!="Moderado"),CONCATENATE("R1C",'Mapa de Riesgos de Corrupción'!#REF!),"")</f>
        <v>#REF!</v>
      </c>
      <c r="X26" s="180" t="e">
        <f>IF(AND('Mapa de Riesgos de Corrupción'!#REF!="Media",'Mapa de Riesgos de Corrupción'!#REF!="Moderado"),CONCATENATE("R1C",'Mapa de Riesgos de Corrupción'!#REF!),"")</f>
        <v>#REF!</v>
      </c>
      <c r="Y26" s="180" t="e">
        <f>IF(AND('Mapa de Riesgos de Corrupción'!#REF!="Media",'Mapa de Riesgos de Corrupción'!#REF!="Moderado"),CONCATENATE("R1C",'Mapa de Riesgos de Corrupción'!#REF!),"")</f>
        <v>#REF!</v>
      </c>
      <c r="Z26" s="180" t="str">
        <f ca="1">IF(AND('Mapa de Riesgos de Corrupción'!$AC$8="Media",'Mapa de Riesgos de Corrupción'!$AE$8="Moderado"),CONCATENATE("R1C",'Mapa de Riesgos de Corrupción'!$R$8),"")</f>
        <v/>
      </c>
      <c r="AA26" s="181" t="str">
        <f ca="1">IF(AND('Mapa de Riesgos de Corrupción'!$AC$9="Media",'Mapa de Riesgos de Corrupción'!$AE$9="Moderado"),CONCATENATE("R1C",'Mapa de Riesgos de Corrupción'!$R$9),"")</f>
        <v/>
      </c>
      <c r="AB26" s="161" t="e">
        <f>IF(AND('Mapa de Riesgos de Corrupción'!#REF!="Media",'Mapa de Riesgos de Corrupción'!#REF!="Mayor"),CONCATENATE("R1C",'Mapa de Riesgos de Corrupción'!#REF!),"")</f>
        <v>#REF!</v>
      </c>
      <c r="AC26" s="162" t="e">
        <f>IF(AND('Mapa de Riesgos de Corrupción'!#REF!="Media",'Mapa de Riesgos de Corrupción'!#REF!="Mayor"),CONCATENATE("R1C",'Mapa de Riesgos de Corrupción'!#REF!),"")</f>
        <v>#REF!</v>
      </c>
      <c r="AD26" s="162" t="e">
        <f>IF(AND('Mapa de Riesgos de Corrupción'!#REF!="Media",'Mapa de Riesgos de Corrupción'!#REF!="Mayor"),CONCATENATE("R1C",'Mapa de Riesgos de Corrupción'!#REF!),"")</f>
        <v>#REF!</v>
      </c>
      <c r="AE26" s="162" t="e">
        <f>IF(AND('Mapa de Riesgos de Corrupción'!#REF!="Media",'Mapa de Riesgos de Corrupción'!#REF!="Mayor"),CONCATENATE("R1C",'Mapa de Riesgos de Corrupción'!#REF!),"")</f>
        <v>#REF!</v>
      </c>
      <c r="AF26" s="162" t="str">
        <f ca="1">IF(AND('Mapa de Riesgos de Corrupción'!$AC$8="Media",'Mapa de Riesgos de Corrupción'!$AE$8="Mayor"),CONCATENATE("R1C",'Mapa de Riesgos de Corrupción'!$R$8),"")</f>
        <v/>
      </c>
      <c r="AG26" s="163" t="str">
        <f ca="1">IF(AND('Mapa de Riesgos de Corrupción'!$AC$9="Media",'Mapa de Riesgos de Corrupción'!$AE$9="Mayor"),CONCATENATE("R1C",'Mapa de Riesgos de Corrupción'!$R$9),"")</f>
        <v/>
      </c>
      <c r="AH26" s="164" t="e">
        <f>IF(AND('Mapa de Riesgos de Corrupción'!#REF!="Media",'Mapa de Riesgos de Corrupción'!#REF!="Catastrófico"),CONCATENATE("R1C",'Mapa de Riesgos de Corrupción'!#REF!),"")</f>
        <v>#REF!</v>
      </c>
      <c r="AI26" s="165" t="e">
        <f>IF(AND('Mapa de Riesgos de Corrupción'!#REF!="Media",'Mapa de Riesgos de Corrupción'!#REF!="Catastrófico"),CONCATENATE("R1C",'Mapa de Riesgos de Corrupción'!#REF!),"")</f>
        <v>#REF!</v>
      </c>
      <c r="AJ26" s="165" t="e">
        <f>IF(AND('Mapa de Riesgos de Corrupción'!#REF!="Media",'Mapa de Riesgos de Corrupción'!#REF!="Catastrófico"),CONCATENATE("R1C",'Mapa de Riesgos de Corrupción'!#REF!),"")</f>
        <v>#REF!</v>
      </c>
      <c r="AK26" s="165" t="e">
        <f>IF(AND('Mapa de Riesgos de Corrupción'!#REF!="Media",'Mapa de Riesgos de Corrupción'!#REF!="Catastrófico"),CONCATENATE("R1C",'Mapa de Riesgos de Corrupción'!#REF!),"")</f>
        <v>#REF!</v>
      </c>
      <c r="AL26" s="165" t="str">
        <f ca="1">IF(AND('Mapa de Riesgos de Corrupción'!$AC$8="Media",'Mapa de Riesgos de Corrupción'!$AE$8="Catastrófico"),CONCATENATE("R1C",'Mapa de Riesgos de Corrupción'!$R$8),"")</f>
        <v/>
      </c>
      <c r="AM26" s="166" t="str">
        <f ca="1">IF(AND('Mapa de Riesgos de Corrupción'!$AC$9="Media",'Mapa de Riesgos de Corrupción'!$AE$9="Catastrófico"),CONCATENATE("R1C",'Mapa de Riesgos de Corrupción'!$R$9),"")</f>
        <v/>
      </c>
      <c r="AN26" s="122"/>
      <c r="AO26" s="332" t="s">
        <v>505</v>
      </c>
      <c r="AP26" s="310"/>
      <c r="AQ26" s="310"/>
      <c r="AR26" s="310"/>
      <c r="AS26" s="310"/>
      <c r="AT26" s="311"/>
      <c r="AU26" s="122"/>
      <c r="AV26" s="122"/>
      <c r="AW26" s="122"/>
      <c r="AX26" s="122"/>
      <c r="AY26" s="122"/>
      <c r="AZ26" s="122"/>
      <c r="BA26" s="122"/>
      <c r="BB26" s="122"/>
      <c r="BC26" s="122"/>
      <c r="BD26" s="122"/>
      <c r="BE26" s="122"/>
      <c r="BF26" s="122"/>
      <c r="BG26" s="122"/>
      <c r="BH26" s="122"/>
      <c r="BI26" s="122"/>
    </row>
    <row r="27" spans="1:61" ht="15" customHeight="1">
      <c r="A27" s="122"/>
      <c r="B27" s="293"/>
      <c r="C27" s="224"/>
      <c r="D27" s="265"/>
      <c r="E27" s="223"/>
      <c r="F27" s="224"/>
      <c r="G27" s="224"/>
      <c r="H27" s="224"/>
      <c r="I27" s="265"/>
      <c r="J27" s="182" t="e">
        <f>IF(AND('Mapa de Riesgos de Corrupción'!#REF!="Media",'Mapa de Riesgos de Corrupción'!#REF!="Leve"),CONCATENATE("R2C",'Mapa de Riesgos de Corrupción'!#REF!),"")</f>
        <v>#REF!</v>
      </c>
      <c r="K27" s="183" t="e">
        <f>IF(AND('Mapa de Riesgos de Corrupción'!#REF!="Media",'Mapa de Riesgos de Corrupción'!#REF!="Leve"),CONCATENATE("R2C",'Mapa de Riesgos de Corrupción'!#REF!),"")</f>
        <v>#REF!</v>
      </c>
      <c r="L27" s="183" t="e">
        <f>IF(AND('Mapa de Riesgos de Corrupción'!#REF!="Media",'Mapa de Riesgos de Corrupción'!#REF!="Leve"),CONCATENATE("R2C",'Mapa de Riesgos de Corrupción'!#REF!),"")</f>
        <v>#REF!</v>
      </c>
      <c r="M27" s="183" t="e">
        <f>IF(AND('Mapa de Riesgos de Corrupción'!#REF!="Media",'Mapa de Riesgos de Corrupción'!#REF!="Leve"),CONCATENATE("R2C",'Mapa de Riesgos de Corrupción'!#REF!),"")</f>
        <v>#REF!</v>
      </c>
      <c r="N27" s="183" t="e">
        <f>IF(AND('Mapa de Riesgos de Corrupción'!#REF!="Media",'Mapa de Riesgos de Corrupción'!#REF!="Leve"),CONCATENATE("R2C",'Mapa de Riesgos de Corrupción'!#REF!),"")</f>
        <v>#REF!</v>
      </c>
      <c r="O27" s="184" t="str">
        <f ca="1">IF(AND('Mapa de Riesgos de Corrupción'!$AC$10="Media",'Mapa de Riesgos de Corrupción'!$AE$10="Leve"),CONCATENATE("R2C",'Mapa de Riesgos de Corrupción'!$R$10),"")</f>
        <v/>
      </c>
      <c r="P27" s="182" t="e">
        <f>IF(AND('Mapa de Riesgos de Corrupción'!#REF!="Media",'Mapa de Riesgos de Corrupción'!#REF!="Menor"),CONCATENATE("R2C",'Mapa de Riesgos de Corrupción'!#REF!),"")</f>
        <v>#REF!</v>
      </c>
      <c r="Q27" s="183" t="e">
        <f>IF(AND('Mapa de Riesgos de Corrupción'!#REF!="Media",'Mapa de Riesgos de Corrupción'!#REF!="Menor"),CONCATENATE("R2C",'Mapa de Riesgos de Corrupción'!#REF!),"")</f>
        <v>#REF!</v>
      </c>
      <c r="R27" s="183" t="e">
        <f>IF(AND('Mapa de Riesgos de Corrupción'!#REF!="Media",'Mapa de Riesgos de Corrupción'!#REF!="Menor"),CONCATENATE("R2C",'Mapa de Riesgos de Corrupción'!#REF!),"")</f>
        <v>#REF!</v>
      </c>
      <c r="S27" s="183" t="e">
        <f>IF(AND('Mapa de Riesgos de Corrupción'!#REF!="Media",'Mapa de Riesgos de Corrupción'!#REF!="Menor"),CONCATENATE("R2C",'Mapa de Riesgos de Corrupción'!#REF!),"")</f>
        <v>#REF!</v>
      </c>
      <c r="T27" s="183" t="e">
        <f>IF(AND('Mapa de Riesgos de Corrupción'!#REF!="Media",'Mapa de Riesgos de Corrupción'!#REF!="Menor"),CONCATENATE("R2C",'Mapa de Riesgos de Corrupción'!#REF!),"")</f>
        <v>#REF!</v>
      </c>
      <c r="U27" s="184" t="str">
        <f ca="1">IF(AND('Mapa de Riesgos de Corrupción'!$AC$10="Media",'Mapa de Riesgos de Corrupción'!$AE$10="Menor"),CONCATENATE("R2C",'Mapa de Riesgos de Corrupción'!$R$10),"")</f>
        <v/>
      </c>
      <c r="V27" s="182" t="e">
        <f>IF(AND('Mapa de Riesgos de Corrupción'!#REF!="Media",'Mapa de Riesgos de Corrupción'!#REF!="Moderado"),CONCATENATE("R2C",'Mapa de Riesgos de Corrupción'!#REF!),"")</f>
        <v>#REF!</v>
      </c>
      <c r="W27" s="183" t="e">
        <f>IF(AND('Mapa de Riesgos de Corrupción'!#REF!="Media",'Mapa de Riesgos de Corrupción'!#REF!="Moderado"),CONCATENATE("R2C",'Mapa de Riesgos de Corrupción'!#REF!),"")</f>
        <v>#REF!</v>
      </c>
      <c r="X27" s="183" t="e">
        <f>IF(AND('Mapa de Riesgos de Corrupción'!#REF!="Media",'Mapa de Riesgos de Corrupción'!#REF!="Moderado"),CONCATENATE("R2C",'Mapa de Riesgos de Corrupción'!#REF!),"")</f>
        <v>#REF!</v>
      </c>
      <c r="Y27" s="183" t="e">
        <f>IF(AND('Mapa de Riesgos de Corrupción'!#REF!="Media",'Mapa de Riesgos de Corrupción'!#REF!="Moderado"),CONCATENATE("R2C",'Mapa de Riesgos de Corrupción'!#REF!),"")</f>
        <v>#REF!</v>
      </c>
      <c r="Z27" s="183" t="e">
        <f>IF(AND('Mapa de Riesgos de Corrupción'!#REF!="Media",'Mapa de Riesgos de Corrupción'!#REF!="Moderado"),CONCATENATE("R2C",'Mapa de Riesgos de Corrupción'!#REF!),"")</f>
        <v>#REF!</v>
      </c>
      <c r="AA27" s="184" t="str">
        <f ca="1">IF(AND('Mapa de Riesgos de Corrupción'!$AC$10="Media",'Mapa de Riesgos de Corrupción'!$AE$10="Moderado"),CONCATENATE("R2C",'Mapa de Riesgos de Corrupción'!$R$10),"")</f>
        <v/>
      </c>
      <c r="AB27" s="167" t="e">
        <f>IF(AND('Mapa de Riesgos de Corrupción'!#REF!="Media",'Mapa de Riesgos de Corrupción'!#REF!="Mayor"),CONCATENATE("R2C",'Mapa de Riesgos de Corrupción'!#REF!),"")</f>
        <v>#REF!</v>
      </c>
      <c r="AC27" s="168" t="e">
        <f>IF(AND('Mapa de Riesgos de Corrupción'!#REF!="Media",'Mapa de Riesgos de Corrupción'!#REF!="Mayor"),CONCATENATE("R2C",'Mapa de Riesgos de Corrupción'!#REF!),"")</f>
        <v>#REF!</v>
      </c>
      <c r="AD27" s="168" t="e">
        <f>IF(AND('Mapa de Riesgos de Corrupción'!#REF!="Media",'Mapa de Riesgos de Corrupción'!#REF!="Mayor"),CONCATENATE("R2C",'Mapa de Riesgos de Corrupción'!#REF!),"")</f>
        <v>#REF!</v>
      </c>
      <c r="AE27" s="168" t="e">
        <f>IF(AND('Mapa de Riesgos de Corrupción'!#REF!="Media",'Mapa de Riesgos de Corrupción'!#REF!="Mayor"),CONCATENATE("R2C",'Mapa de Riesgos de Corrupción'!#REF!),"")</f>
        <v>#REF!</v>
      </c>
      <c r="AF27" s="168" t="e">
        <f>IF(AND('Mapa de Riesgos de Corrupción'!#REF!="Media",'Mapa de Riesgos de Corrupción'!#REF!="Mayor"),CONCATENATE("R2C",'Mapa de Riesgos de Corrupción'!#REF!),"")</f>
        <v>#REF!</v>
      </c>
      <c r="AG27" s="169" t="str">
        <f ca="1">IF(AND('Mapa de Riesgos de Corrupción'!$AC$10="Media",'Mapa de Riesgos de Corrupción'!$AE$10="Mayor"),CONCATENATE("R2C",'Mapa de Riesgos de Corrupción'!$R$10),"")</f>
        <v>R2C3</v>
      </c>
      <c r="AH27" s="170" t="e">
        <f>IF(AND('Mapa de Riesgos de Corrupción'!#REF!="Media",'Mapa de Riesgos de Corrupción'!#REF!="Catastrófico"),CONCATENATE("R2C",'Mapa de Riesgos de Corrupción'!#REF!),"")</f>
        <v>#REF!</v>
      </c>
      <c r="AI27" s="171" t="e">
        <f>IF(AND('Mapa de Riesgos de Corrupción'!#REF!="Media",'Mapa de Riesgos de Corrupción'!#REF!="Catastrófico"),CONCATENATE("R2C",'Mapa de Riesgos de Corrupción'!#REF!),"")</f>
        <v>#REF!</v>
      </c>
      <c r="AJ27" s="171" t="e">
        <f>IF(AND('Mapa de Riesgos de Corrupción'!#REF!="Media",'Mapa de Riesgos de Corrupción'!#REF!="Catastrófico"),CONCATENATE("R2C",'Mapa de Riesgos de Corrupción'!#REF!),"")</f>
        <v>#REF!</v>
      </c>
      <c r="AK27" s="171" t="e">
        <f>IF(AND('Mapa de Riesgos de Corrupción'!#REF!="Media",'Mapa de Riesgos de Corrupción'!#REF!="Catastrófico"),CONCATENATE("R2C",'Mapa de Riesgos de Corrupción'!#REF!),"")</f>
        <v>#REF!</v>
      </c>
      <c r="AL27" s="171" t="e">
        <f>IF(AND('Mapa de Riesgos de Corrupción'!#REF!="Media",'Mapa de Riesgos de Corrupción'!#REF!="Catastrófico"),CONCATENATE("R2C",'Mapa de Riesgos de Corrupción'!#REF!),"")</f>
        <v>#REF!</v>
      </c>
      <c r="AM27" s="172" t="str">
        <f ca="1">IF(AND('Mapa de Riesgos de Corrupción'!$AC$10="Media",'Mapa de Riesgos de Corrupción'!$AE$10="Catastrófico"),CONCATENATE("R2C",'Mapa de Riesgos de Corrupción'!$R$10),"")</f>
        <v/>
      </c>
      <c r="AN27" s="122"/>
      <c r="AO27" s="312"/>
      <c r="AP27" s="224"/>
      <c r="AQ27" s="224"/>
      <c r="AR27" s="224"/>
      <c r="AS27" s="224"/>
      <c r="AT27" s="313"/>
      <c r="AU27" s="122"/>
      <c r="AV27" s="122"/>
      <c r="AW27" s="122"/>
      <c r="AX27" s="122"/>
      <c r="AY27" s="122"/>
      <c r="AZ27" s="122"/>
      <c r="BA27" s="122"/>
      <c r="BB27" s="122"/>
      <c r="BC27" s="122"/>
      <c r="BD27" s="122"/>
      <c r="BE27" s="122"/>
      <c r="BF27" s="122"/>
      <c r="BG27" s="122"/>
      <c r="BH27" s="122"/>
      <c r="BI27" s="122"/>
    </row>
    <row r="28" spans="1:61" ht="15" customHeight="1">
      <c r="A28" s="122"/>
      <c r="B28" s="293"/>
      <c r="C28" s="224"/>
      <c r="D28" s="265"/>
      <c r="E28" s="223"/>
      <c r="F28" s="224"/>
      <c r="G28" s="224"/>
      <c r="H28" s="224"/>
      <c r="I28" s="265"/>
      <c r="J28" s="182" t="e">
        <f>IF(AND('Mapa de Riesgos de Corrupción'!#REF!="Media",'Mapa de Riesgos de Corrupción'!#REF!="Leve"),CONCATENATE("R3C",'Mapa de Riesgos de Corrupción'!#REF!),"")</f>
        <v>#REF!</v>
      </c>
      <c r="K28" s="183" t="str">
        <f ca="1">IF(AND('Mapa de Riesgos de Corrupción'!$AC$11="Media",'Mapa de Riesgos de Corrupción'!$AE$11="Leve"),CONCATENATE("R3C",'Mapa de Riesgos de Corrupción'!$R$11),"")</f>
        <v/>
      </c>
      <c r="L28" s="183" t="e">
        <f>IF(AND('Mapa de Riesgos de Corrupción'!#REF!="Media",'Mapa de Riesgos de Corrupción'!#REF!="Leve"),CONCATENATE("R3C",'Mapa de Riesgos de Corrupción'!#REF!),"")</f>
        <v>#REF!</v>
      </c>
      <c r="M28" s="183" t="str">
        <f ca="1">IF(AND('Mapa de Riesgos de Corrupción'!$AC$12="Media",'Mapa de Riesgos de Corrupción'!$AE$12="Leve"),CONCATENATE("R3C",'Mapa de Riesgos de Corrupción'!$R$12),"")</f>
        <v/>
      </c>
      <c r="N28" s="183" t="e">
        <f>IF(AND('Mapa de Riesgos de Corrupción'!#REF!="Media",'Mapa de Riesgos de Corrupción'!#REF!="Leve"),CONCATENATE("R3C",'Mapa de Riesgos de Corrupción'!#REF!),"")</f>
        <v>#REF!</v>
      </c>
      <c r="O28" s="184" t="e">
        <f>IF(AND('Mapa de Riesgos de Corrupción'!#REF!="Media",'Mapa de Riesgos de Corrupción'!#REF!="Leve"),CONCATENATE("R3C",'Mapa de Riesgos de Corrupción'!#REF!),"")</f>
        <v>#REF!</v>
      </c>
      <c r="P28" s="182" t="e">
        <f>IF(AND('Mapa de Riesgos de Corrupción'!#REF!="Media",'Mapa de Riesgos de Corrupción'!#REF!="Menor"),CONCATENATE("R3C",'Mapa de Riesgos de Corrupción'!#REF!),"")</f>
        <v>#REF!</v>
      </c>
      <c r="Q28" s="183" t="str">
        <f ca="1">IF(AND('Mapa de Riesgos de Corrupción'!$AC$11="Media",'Mapa de Riesgos de Corrupción'!$AE$11="Menor"),CONCATENATE("R3C",'Mapa de Riesgos de Corrupción'!$R$11),"")</f>
        <v/>
      </c>
      <c r="R28" s="183" t="e">
        <f>IF(AND('Mapa de Riesgos de Corrupción'!#REF!="Media",'Mapa de Riesgos de Corrupción'!#REF!="Menor"),CONCATENATE("R3C",'Mapa de Riesgos de Corrupción'!#REF!),"")</f>
        <v>#REF!</v>
      </c>
      <c r="S28" s="183" t="str">
        <f ca="1">IF(AND('Mapa de Riesgos de Corrupción'!$AC$12="Media",'Mapa de Riesgos de Corrupción'!$AE$12="Menor"),CONCATENATE("R3C",'Mapa de Riesgos de Corrupción'!$R$12),"")</f>
        <v/>
      </c>
      <c r="T28" s="183" t="e">
        <f>IF(AND('Mapa de Riesgos de Corrupción'!#REF!="Media",'Mapa de Riesgos de Corrupción'!#REF!="Menor"),CONCATENATE("R3C",'Mapa de Riesgos de Corrupción'!#REF!),"")</f>
        <v>#REF!</v>
      </c>
      <c r="U28" s="184" t="e">
        <f>IF(AND('Mapa de Riesgos de Corrupción'!#REF!="Media",'Mapa de Riesgos de Corrupción'!#REF!="Menor"),CONCATENATE("R3C",'Mapa de Riesgos de Corrupción'!#REF!),"")</f>
        <v>#REF!</v>
      </c>
      <c r="V28" s="182" t="e">
        <f>IF(AND('Mapa de Riesgos de Corrupción'!#REF!="Media",'Mapa de Riesgos de Corrupción'!#REF!="Moderado"),CONCATENATE("R3C",'Mapa de Riesgos de Corrupción'!#REF!),"")</f>
        <v>#REF!</v>
      </c>
      <c r="W28" s="183" t="str">
        <f ca="1">IF(AND('Mapa de Riesgos de Corrupción'!$AC$11="Media",'Mapa de Riesgos de Corrupción'!$AE$11="Moderado"),CONCATENATE("R3C",'Mapa de Riesgos de Corrupción'!$R$11),"")</f>
        <v/>
      </c>
      <c r="X28" s="183" t="e">
        <f>IF(AND('Mapa de Riesgos de Corrupción'!#REF!="Media",'Mapa de Riesgos de Corrupción'!#REF!="Moderado"),CONCATENATE("R3C",'Mapa de Riesgos de Corrupción'!#REF!),"")</f>
        <v>#REF!</v>
      </c>
      <c r="Y28" s="183" t="str">
        <f ca="1">IF(AND('Mapa de Riesgos de Corrupción'!$AC$12="Media",'Mapa de Riesgos de Corrupción'!$AE$12="Moderado"),CONCATENATE("R3C",'Mapa de Riesgos de Corrupción'!$R$12),"")</f>
        <v/>
      </c>
      <c r="Z28" s="183" t="e">
        <f>IF(AND('Mapa de Riesgos de Corrupción'!#REF!="Media",'Mapa de Riesgos de Corrupción'!#REF!="Moderado"),CONCATENATE("R3C",'Mapa de Riesgos de Corrupción'!#REF!),"")</f>
        <v>#REF!</v>
      </c>
      <c r="AA28" s="184" t="e">
        <f>IF(AND('Mapa de Riesgos de Corrupción'!#REF!="Media",'Mapa de Riesgos de Corrupción'!#REF!="Moderado"),CONCATENATE("R3C",'Mapa de Riesgos de Corrupción'!#REF!),"")</f>
        <v>#REF!</v>
      </c>
      <c r="AB28" s="167" t="e">
        <f>IF(AND('Mapa de Riesgos de Corrupción'!#REF!="Media",'Mapa de Riesgos de Corrupción'!#REF!="Mayor"),CONCATENATE("R3C",'Mapa de Riesgos de Corrupción'!#REF!),"")</f>
        <v>#REF!</v>
      </c>
      <c r="AC28" s="168" t="str">
        <f ca="1">IF(AND('Mapa de Riesgos de Corrupción'!$AC$11="Media",'Mapa de Riesgos de Corrupción'!$AE$11="Mayor"),CONCATENATE("R3C",'Mapa de Riesgos de Corrupción'!$R$11),"")</f>
        <v/>
      </c>
      <c r="AD28" s="168" t="e">
        <f>IF(AND('Mapa de Riesgos de Corrupción'!#REF!="Media",'Mapa de Riesgos de Corrupción'!#REF!="Mayor"),CONCATENATE("R3C",'Mapa de Riesgos de Corrupción'!#REF!),"")</f>
        <v>#REF!</v>
      </c>
      <c r="AE28" s="168" t="str">
        <f ca="1">IF(AND('Mapa de Riesgos de Corrupción'!$AC$12="Media",'Mapa de Riesgos de Corrupción'!$AE$12="Mayor"),CONCATENATE("R3C",'Mapa de Riesgos de Corrupción'!$R$12),"")</f>
        <v/>
      </c>
      <c r="AF28" s="168" t="e">
        <f>IF(AND('Mapa de Riesgos de Corrupción'!#REF!="Media",'Mapa de Riesgos de Corrupción'!#REF!="Mayor"),CONCATENATE("R3C",'Mapa de Riesgos de Corrupción'!#REF!),"")</f>
        <v>#REF!</v>
      </c>
      <c r="AG28" s="169" t="e">
        <f>IF(AND('Mapa de Riesgos de Corrupción'!#REF!="Media",'Mapa de Riesgos de Corrupción'!#REF!="Mayor"),CONCATENATE("R3C",'Mapa de Riesgos de Corrupción'!#REF!),"")</f>
        <v>#REF!</v>
      </c>
      <c r="AH28" s="170" t="e">
        <f>IF(AND('Mapa de Riesgos de Corrupción'!#REF!="Media",'Mapa de Riesgos de Corrupción'!#REF!="Catastrófico"),CONCATENATE("R3C",'Mapa de Riesgos de Corrupción'!#REF!),"")</f>
        <v>#REF!</v>
      </c>
      <c r="AI28" s="171" t="str">
        <f ca="1">IF(AND('Mapa de Riesgos de Corrupción'!$AC$11="Media",'Mapa de Riesgos de Corrupción'!$AE$11="Catastrófico"),CONCATENATE("R3C",'Mapa de Riesgos de Corrupción'!$R$11),"")</f>
        <v/>
      </c>
      <c r="AJ28" s="171" t="e">
        <f>IF(AND('Mapa de Riesgos de Corrupción'!#REF!="Media",'Mapa de Riesgos de Corrupción'!#REF!="Catastrófico"),CONCATENATE("R3C",'Mapa de Riesgos de Corrupción'!#REF!),"")</f>
        <v>#REF!</v>
      </c>
      <c r="AK28" s="171" t="str">
        <f ca="1">IF(AND('Mapa de Riesgos de Corrupción'!$AC$12="Media",'Mapa de Riesgos de Corrupción'!$AE$12="Catastrófico"),CONCATENATE("R3C",'Mapa de Riesgos de Corrupción'!$R$12),"")</f>
        <v/>
      </c>
      <c r="AL28" s="171" t="e">
        <f>IF(AND('Mapa de Riesgos de Corrupción'!#REF!="Media",'Mapa de Riesgos de Corrupción'!#REF!="Catastrófico"),CONCATENATE("R3C",'Mapa de Riesgos de Corrupción'!#REF!),"")</f>
        <v>#REF!</v>
      </c>
      <c r="AM28" s="172" t="e">
        <f>IF(AND('Mapa de Riesgos de Corrupción'!#REF!="Media",'Mapa de Riesgos de Corrupción'!#REF!="Catastrófico"),CONCATENATE("R3C",'Mapa de Riesgos de Corrupción'!#REF!),"")</f>
        <v>#REF!</v>
      </c>
      <c r="AN28" s="122"/>
      <c r="AO28" s="312"/>
      <c r="AP28" s="224"/>
      <c r="AQ28" s="224"/>
      <c r="AR28" s="224"/>
      <c r="AS28" s="224"/>
      <c r="AT28" s="313"/>
      <c r="AU28" s="122"/>
      <c r="AV28" s="122"/>
      <c r="AW28" s="122"/>
      <c r="AX28" s="122"/>
      <c r="AY28" s="122"/>
      <c r="AZ28" s="122"/>
      <c r="BA28" s="122"/>
      <c r="BB28" s="122"/>
      <c r="BC28" s="122"/>
      <c r="BD28" s="122"/>
      <c r="BE28" s="122"/>
      <c r="BF28" s="122"/>
      <c r="BG28" s="122"/>
      <c r="BH28" s="122"/>
      <c r="BI28" s="122"/>
    </row>
    <row r="29" spans="1:61" ht="15" customHeight="1">
      <c r="A29" s="122"/>
      <c r="B29" s="293"/>
      <c r="C29" s="224"/>
      <c r="D29" s="265"/>
      <c r="E29" s="223"/>
      <c r="F29" s="224"/>
      <c r="G29" s="224"/>
      <c r="H29" s="224"/>
      <c r="I29" s="265"/>
      <c r="J29" s="182" t="str">
        <f ca="1">IF(AND('Mapa de Riesgos de Corrupción'!$AC$13="Media",'Mapa de Riesgos de Corrupción'!$AE$13="Leve"),CONCATENATE("R4C",'Mapa de Riesgos de Corrupción'!$R$13),"")</f>
        <v/>
      </c>
      <c r="K29" s="183" t="e">
        <f>IF(AND('Mapa de Riesgos de Corrupción'!#REF!="Media",'Mapa de Riesgos de Corrupción'!#REF!="Leve"),CONCATENATE("R4C",'Mapa de Riesgos de Corrupción'!#REF!),"")</f>
        <v>#REF!</v>
      </c>
      <c r="L29" s="183" t="str">
        <f ca="1">IF(AND('Mapa de Riesgos de Corrupción'!$AC$14="Media",'Mapa de Riesgos de Corrupción'!$AE$14="Leve"),CONCATENATE("R4C",'Mapa de Riesgos de Corrupción'!$R$14),"")</f>
        <v/>
      </c>
      <c r="M29" s="183" t="e">
        <f>IF(AND('Mapa de Riesgos de Corrupción'!#REF!="Media",'Mapa de Riesgos de Corrupción'!#REF!="Leve"),CONCATENATE("R4C",'Mapa de Riesgos de Corrupción'!#REF!),"")</f>
        <v>#REF!</v>
      </c>
      <c r="N29" s="183" t="e">
        <f>IF(AND('Mapa de Riesgos de Corrupción'!#REF!="Media",'Mapa de Riesgos de Corrupción'!#REF!="Leve"),CONCATENATE("R4C",'Mapa de Riesgos de Corrupción'!#REF!),"")</f>
        <v>#REF!</v>
      </c>
      <c r="O29" s="184" t="str">
        <f ca="1">IF(AND('Mapa de Riesgos de Corrupción'!$AC$15="Media",'Mapa de Riesgos de Corrupción'!$AE$15="Leve"),CONCATENATE("R4C",'Mapa de Riesgos de Corrupción'!$R$15),"")</f>
        <v/>
      </c>
      <c r="P29" s="182" t="str">
        <f ca="1">IF(AND('Mapa de Riesgos de Corrupción'!$AC$13="Media",'Mapa de Riesgos de Corrupción'!$AE$13="Menor"),CONCATENATE("R4C",'Mapa de Riesgos de Corrupción'!$R$13),"")</f>
        <v/>
      </c>
      <c r="Q29" s="183" t="e">
        <f>IF(AND('Mapa de Riesgos de Corrupción'!#REF!="Media",'Mapa de Riesgos de Corrupción'!#REF!="Menor"),CONCATENATE("R4C",'Mapa de Riesgos de Corrupción'!#REF!),"")</f>
        <v>#REF!</v>
      </c>
      <c r="R29" s="183" t="str">
        <f ca="1">IF(AND('Mapa de Riesgos de Corrupción'!$AC$14="Media",'Mapa de Riesgos de Corrupción'!$AE$14="Menor"),CONCATENATE("R4C",'Mapa de Riesgos de Corrupción'!$R$14),"")</f>
        <v/>
      </c>
      <c r="S29" s="183" t="e">
        <f>IF(AND('Mapa de Riesgos de Corrupción'!#REF!="Media",'Mapa de Riesgos de Corrupción'!#REF!="Menor"),CONCATENATE("R4C",'Mapa de Riesgos de Corrupción'!#REF!),"")</f>
        <v>#REF!</v>
      </c>
      <c r="T29" s="183" t="e">
        <f>IF(AND('Mapa de Riesgos de Corrupción'!#REF!="Media",'Mapa de Riesgos de Corrupción'!#REF!="Menor"),CONCATENATE("R4C",'Mapa de Riesgos de Corrupción'!#REF!),"")</f>
        <v>#REF!</v>
      </c>
      <c r="U29" s="184" t="str">
        <f ca="1">IF(AND('Mapa de Riesgos de Corrupción'!$AC$15="Media",'Mapa de Riesgos de Corrupción'!$AE$15="Menor"),CONCATENATE("R4C",'Mapa de Riesgos de Corrupción'!$R$15),"")</f>
        <v/>
      </c>
      <c r="V29" s="182" t="str">
        <f ca="1">IF(AND('Mapa de Riesgos de Corrupción'!$AC$13="Media",'Mapa de Riesgos de Corrupción'!$AE$13="Moderado"),CONCATENATE("R4C",'Mapa de Riesgos de Corrupción'!$R$13),"")</f>
        <v/>
      </c>
      <c r="W29" s="183" t="e">
        <f>IF(AND('Mapa de Riesgos de Corrupción'!#REF!="Media",'Mapa de Riesgos de Corrupción'!#REF!="Moderado"),CONCATENATE("R4C",'Mapa de Riesgos de Corrupción'!#REF!),"")</f>
        <v>#REF!</v>
      </c>
      <c r="X29" s="183" t="str">
        <f ca="1">IF(AND('Mapa de Riesgos de Corrupción'!$AC$14="Media",'Mapa de Riesgos de Corrupción'!$AE$14="Moderado"),CONCATENATE("R4C",'Mapa de Riesgos de Corrupción'!$R$14),"")</f>
        <v>R4C7</v>
      </c>
      <c r="Y29" s="183" t="e">
        <f>IF(AND('Mapa de Riesgos de Corrupción'!#REF!="Media",'Mapa de Riesgos de Corrupción'!#REF!="Moderado"),CONCATENATE("R4C",'Mapa de Riesgos de Corrupción'!#REF!),"")</f>
        <v>#REF!</v>
      </c>
      <c r="Z29" s="183" t="e">
        <f>IF(AND('Mapa de Riesgos de Corrupción'!#REF!="Media",'Mapa de Riesgos de Corrupción'!#REF!="Moderado"),CONCATENATE("R4C",'Mapa de Riesgos de Corrupción'!#REF!),"")</f>
        <v>#REF!</v>
      </c>
      <c r="AA29" s="184" t="str">
        <f ca="1">IF(AND('Mapa de Riesgos de Corrupción'!$AC$15="Media",'Mapa de Riesgos de Corrupción'!$AE$15="Moderado"),CONCATENATE("R4C",'Mapa de Riesgos de Corrupción'!$R$15),"")</f>
        <v/>
      </c>
      <c r="AB29" s="167" t="str">
        <f ca="1">IF(AND('Mapa de Riesgos de Corrupción'!$AC$13="Media",'Mapa de Riesgos de Corrupción'!$AE$13="Mayor"),CONCATENATE("R4C",'Mapa de Riesgos de Corrupción'!$R$13),"")</f>
        <v/>
      </c>
      <c r="AC29" s="168" t="e">
        <f>IF(AND('Mapa de Riesgos de Corrupción'!#REF!="Media",'Mapa de Riesgos de Corrupción'!#REF!="Mayor"),CONCATENATE("R4C",'Mapa de Riesgos de Corrupción'!#REF!),"")</f>
        <v>#REF!</v>
      </c>
      <c r="AD29" s="168" t="str">
        <f ca="1">IF(AND('Mapa de Riesgos de Corrupción'!$AC$14="Media",'Mapa de Riesgos de Corrupción'!$AE$14="Mayor"),CONCATENATE("R4C",'Mapa de Riesgos de Corrupción'!$R$14),"")</f>
        <v/>
      </c>
      <c r="AE29" s="168" t="e">
        <f>IF(AND('Mapa de Riesgos de Corrupción'!#REF!="Media",'Mapa de Riesgos de Corrupción'!#REF!="Mayor"),CONCATENATE("R4C",'Mapa de Riesgos de Corrupción'!#REF!),"")</f>
        <v>#REF!</v>
      </c>
      <c r="AF29" s="168" t="e">
        <f>IF(AND('Mapa de Riesgos de Corrupción'!#REF!="Media",'Mapa de Riesgos de Corrupción'!#REF!="Mayor"),CONCATENATE("R4C",'Mapa de Riesgos de Corrupción'!#REF!),"")</f>
        <v>#REF!</v>
      </c>
      <c r="AG29" s="169" t="str">
        <f ca="1">IF(AND('Mapa de Riesgos de Corrupción'!$AC$15="Media",'Mapa de Riesgos de Corrupción'!$AE$15="Mayor"),CONCATENATE("R4C",'Mapa de Riesgos de Corrupción'!$R$15),"")</f>
        <v/>
      </c>
      <c r="AH29" s="170" t="str">
        <f ca="1">IF(AND('Mapa de Riesgos de Corrupción'!$AC$13="Media",'Mapa de Riesgos de Corrupción'!$AE$13="Catastrófico"),CONCATENATE("R4C",'Mapa de Riesgos de Corrupción'!$R$13),"")</f>
        <v/>
      </c>
      <c r="AI29" s="171" t="e">
        <f>IF(AND('Mapa de Riesgos de Corrupción'!#REF!="Media",'Mapa de Riesgos de Corrupción'!#REF!="Catastrófico"),CONCATENATE("R4C",'Mapa de Riesgos de Corrupción'!#REF!),"")</f>
        <v>#REF!</v>
      </c>
      <c r="AJ29" s="171" t="str">
        <f ca="1">IF(AND('Mapa de Riesgos de Corrupción'!$AC$14="Media",'Mapa de Riesgos de Corrupción'!$AE$14="Catastrófico"),CONCATENATE("R4C",'Mapa de Riesgos de Corrupción'!$R$14),"")</f>
        <v/>
      </c>
      <c r="AK29" s="171" t="e">
        <f>IF(AND('Mapa de Riesgos de Corrupción'!#REF!="Media",'Mapa de Riesgos de Corrupción'!#REF!="Catastrófico"),CONCATENATE("R4C",'Mapa de Riesgos de Corrupción'!#REF!),"")</f>
        <v>#REF!</v>
      </c>
      <c r="AL29" s="171" t="e">
        <f>IF(AND('Mapa de Riesgos de Corrupción'!#REF!="Media",'Mapa de Riesgos de Corrupción'!#REF!="Catastrófico"),CONCATENATE("R4C",'Mapa de Riesgos de Corrupción'!#REF!),"")</f>
        <v>#REF!</v>
      </c>
      <c r="AM29" s="172" t="str">
        <f ca="1">IF(AND('Mapa de Riesgos de Corrupción'!$AC$15="Media",'Mapa de Riesgos de Corrupción'!$AE$15="Catastrófico"),CONCATENATE("R4C",'Mapa de Riesgos de Corrupción'!$R$15),"")</f>
        <v/>
      </c>
      <c r="AN29" s="122"/>
      <c r="AO29" s="312"/>
      <c r="AP29" s="224"/>
      <c r="AQ29" s="224"/>
      <c r="AR29" s="224"/>
      <c r="AS29" s="224"/>
      <c r="AT29" s="313"/>
      <c r="AU29" s="122"/>
      <c r="AV29" s="122"/>
      <c r="AW29" s="122"/>
      <c r="AX29" s="122"/>
      <c r="AY29" s="122"/>
      <c r="AZ29" s="122"/>
      <c r="BA29" s="122"/>
      <c r="BB29" s="122"/>
      <c r="BC29" s="122"/>
      <c r="BD29" s="122"/>
      <c r="BE29" s="122"/>
      <c r="BF29" s="122"/>
      <c r="BG29" s="122"/>
      <c r="BH29" s="122"/>
      <c r="BI29" s="122"/>
    </row>
    <row r="30" spans="1:61" ht="15" customHeight="1">
      <c r="A30" s="122"/>
      <c r="B30" s="293"/>
      <c r="C30" s="224"/>
      <c r="D30" s="265"/>
      <c r="E30" s="223"/>
      <c r="F30" s="224"/>
      <c r="G30" s="224"/>
      <c r="H30" s="224"/>
      <c r="I30" s="265"/>
      <c r="J30" s="182" t="str">
        <f ca="1">IF(AND('Mapa de Riesgos de Corrupción'!$AC$16="Media",'Mapa de Riesgos de Corrupción'!$AE$16="Leve"),CONCATENATE("R5C",'Mapa de Riesgos de Corrupción'!$R$16),"")</f>
        <v/>
      </c>
      <c r="K30" s="183" t="e">
        <f>IF(AND('Mapa de Riesgos de Corrupción'!#REF!="Media",'Mapa de Riesgos de Corrupción'!#REF!="Leve"),CONCATENATE("R5C",'Mapa de Riesgos de Corrupción'!#REF!),"")</f>
        <v>#REF!</v>
      </c>
      <c r="L30" s="183" t="e">
        <f>IF(AND('Mapa de Riesgos de Corrupción'!#REF!="Media",'Mapa de Riesgos de Corrupción'!#REF!="Leve"),CONCATENATE("R5C",'Mapa de Riesgos de Corrupción'!#REF!),"")</f>
        <v>#REF!</v>
      </c>
      <c r="M30" s="183" t="str">
        <f ca="1">IF(AND('Mapa de Riesgos de Corrupción'!$AC$17="Media",'Mapa de Riesgos de Corrupción'!$AE$17="Leve"),CONCATENATE("R5C",'Mapa de Riesgos de Corrupción'!$R$17),"")</f>
        <v/>
      </c>
      <c r="N30" s="183" t="e">
        <f>IF(AND('Mapa de Riesgos de Corrupción'!#REF!="Media",'Mapa de Riesgos de Corrupción'!#REF!="Leve"),CONCATENATE("R5C",'Mapa de Riesgos de Corrupción'!#REF!),"")</f>
        <v>#REF!</v>
      </c>
      <c r="O30" s="184" t="str">
        <f ca="1">IF(AND('Mapa de Riesgos de Corrupción'!$AC$18="Media",'Mapa de Riesgos de Corrupción'!$AE$18="Leve"),CONCATENATE("R5C",'Mapa de Riesgos de Corrupción'!$R$18),"")</f>
        <v/>
      </c>
      <c r="P30" s="182" t="str">
        <f ca="1">IF(AND('Mapa de Riesgos de Corrupción'!$AC$16="Media",'Mapa de Riesgos de Corrupción'!$AE$16="Menor"),CONCATENATE("R5C",'Mapa de Riesgos de Corrupción'!$R$16),"")</f>
        <v/>
      </c>
      <c r="Q30" s="183" t="e">
        <f>IF(AND('Mapa de Riesgos de Corrupción'!#REF!="Media",'Mapa de Riesgos de Corrupción'!#REF!="Menor"),CONCATENATE("R5C",'Mapa de Riesgos de Corrupción'!#REF!),"")</f>
        <v>#REF!</v>
      </c>
      <c r="R30" s="183" t="e">
        <f>IF(AND('Mapa de Riesgos de Corrupción'!#REF!="Media",'Mapa de Riesgos de Corrupción'!#REF!="Menor"),CONCATENATE("R5C",'Mapa de Riesgos de Corrupción'!#REF!),"")</f>
        <v>#REF!</v>
      </c>
      <c r="S30" s="183" t="str">
        <f ca="1">IF(AND('Mapa de Riesgos de Corrupción'!$AC$17="Media",'Mapa de Riesgos de Corrupción'!$AE$17="Menor"),CONCATENATE("R5C",'Mapa de Riesgos de Corrupción'!$R$17),"")</f>
        <v/>
      </c>
      <c r="T30" s="183" t="e">
        <f>IF(AND('Mapa de Riesgos de Corrupción'!#REF!="Media",'Mapa de Riesgos de Corrupción'!#REF!="Menor"),CONCATENATE("R5C",'Mapa de Riesgos de Corrupción'!#REF!),"")</f>
        <v>#REF!</v>
      </c>
      <c r="U30" s="184" t="str">
        <f ca="1">IF(AND('Mapa de Riesgos de Corrupción'!$AC$18="Media",'Mapa de Riesgos de Corrupción'!$AE$18="Menor"),CONCATENATE("R5C",'Mapa de Riesgos de Corrupción'!$R$18),"")</f>
        <v/>
      </c>
      <c r="V30" s="182" t="str">
        <f ca="1">IF(AND('Mapa de Riesgos de Corrupción'!$AC$16="Media",'Mapa de Riesgos de Corrupción'!$AE$16="Moderado"),CONCATENATE("R5C",'Mapa de Riesgos de Corrupción'!$R$16),"")</f>
        <v/>
      </c>
      <c r="W30" s="183" t="e">
        <f>IF(AND('Mapa de Riesgos de Corrupción'!#REF!="Media",'Mapa de Riesgos de Corrupción'!#REF!="Moderado"),CONCATENATE("R5C",'Mapa de Riesgos de Corrupción'!#REF!),"")</f>
        <v>#REF!</v>
      </c>
      <c r="X30" s="183" t="e">
        <f>IF(AND('Mapa de Riesgos de Corrupción'!#REF!="Media",'Mapa de Riesgos de Corrupción'!#REF!="Moderado"),CONCATENATE("R5C",'Mapa de Riesgos de Corrupción'!#REF!),"")</f>
        <v>#REF!</v>
      </c>
      <c r="Y30" s="183" t="str">
        <f ca="1">IF(AND('Mapa de Riesgos de Corrupción'!$AC$17="Media",'Mapa de Riesgos de Corrupción'!$AE$17="Moderado"),CONCATENATE("R5C",'Mapa de Riesgos de Corrupción'!$R$17),"")</f>
        <v/>
      </c>
      <c r="Z30" s="183" t="e">
        <f>IF(AND('Mapa de Riesgos de Corrupción'!#REF!="Media",'Mapa de Riesgos de Corrupción'!#REF!="Moderado"),CONCATENATE("R5C",'Mapa de Riesgos de Corrupción'!#REF!),"")</f>
        <v>#REF!</v>
      </c>
      <c r="AA30" s="184" t="str">
        <f ca="1">IF(AND('Mapa de Riesgos de Corrupción'!$AC$18="Media",'Mapa de Riesgos de Corrupción'!$AE$18="Moderado"),CONCATENATE("R5C",'Mapa de Riesgos de Corrupción'!$R$18),"")</f>
        <v/>
      </c>
      <c r="AB30" s="167" t="str">
        <f ca="1">IF(AND('Mapa de Riesgos de Corrupción'!$AC$16="Media",'Mapa de Riesgos de Corrupción'!$AE$16="Mayor"),CONCATENATE("R5C",'Mapa de Riesgos de Corrupción'!$R$16),"")</f>
        <v>R5C9</v>
      </c>
      <c r="AC30" s="168" t="e">
        <f>IF(AND('Mapa de Riesgos de Corrupción'!#REF!="Media",'Mapa de Riesgos de Corrupción'!#REF!="Mayor"),CONCATENATE("R5C",'Mapa de Riesgos de Corrupción'!#REF!),"")</f>
        <v>#REF!</v>
      </c>
      <c r="AD30" s="168" t="e">
        <f>IF(AND('Mapa de Riesgos de Corrupción'!#REF!="Media",'Mapa de Riesgos de Corrupción'!#REF!="Mayor"),CONCATENATE("R5C",'Mapa de Riesgos de Corrupción'!#REF!),"")</f>
        <v>#REF!</v>
      </c>
      <c r="AE30" s="168" t="str">
        <f ca="1">IF(AND('Mapa de Riesgos de Corrupción'!$AC$17="Media",'Mapa de Riesgos de Corrupción'!$AE$17="Mayor"),CONCATENATE("R5C",'Mapa de Riesgos de Corrupción'!$R$17),"")</f>
        <v/>
      </c>
      <c r="AF30" s="168" t="e">
        <f>IF(AND('Mapa de Riesgos de Corrupción'!#REF!="Media",'Mapa de Riesgos de Corrupción'!#REF!="Mayor"),CONCATENATE("R5C",'Mapa de Riesgos de Corrupción'!#REF!),"")</f>
        <v>#REF!</v>
      </c>
      <c r="AG30" s="169" t="str">
        <f ca="1">IF(AND('Mapa de Riesgos de Corrupción'!$AC$18="Media",'Mapa de Riesgos de Corrupción'!$AE$18="Mayor"),CONCATENATE("R5C",'Mapa de Riesgos de Corrupción'!$R$18),"")</f>
        <v>R5C11</v>
      </c>
      <c r="AH30" s="170" t="str">
        <f ca="1">IF(AND('Mapa de Riesgos de Corrupción'!$AC$16="Media",'Mapa de Riesgos de Corrupción'!$AE$16="Catastrófico"),CONCATENATE("R5C",'Mapa de Riesgos de Corrupción'!$R$16),"")</f>
        <v/>
      </c>
      <c r="AI30" s="171" t="e">
        <f>IF(AND('Mapa de Riesgos de Corrupción'!#REF!="Media",'Mapa de Riesgos de Corrupción'!#REF!="Catastrófico"),CONCATENATE("R5C",'Mapa de Riesgos de Corrupción'!#REF!),"")</f>
        <v>#REF!</v>
      </c>
      <c r="AJ30" s="171" t="e">
        <f>IF(AND('Mapa de Riesgos de Corrupción'!#REF!="Media",'Mapa de Riesgos de Corrupción'!#REF!="Catastrófico"),CONCATENATE("R5C",'Mapa de Riesgos de Corrupción'!#REF!),"")</f>
        <v>#REF!</v>
      </c>
      <c r="AK30" s="171" t="str">
        <f ca="1">IF(AND('Mapa de Riesgos de Corrupción'!$AC$17="Media",'Mapa de Riesgos de Corrupción'!$AE$17="Catastrófico"),CONCATENATE("R5C",'Mapa de Riesgos de Corrupción'!$R$17),"")</f>
        <v/>
      </c>
      <c r="AL30" s="171" t="e">
        <f>IF(AND('Mapa de Riesgos de Corrupción'!#REF!="Media",'Mapa de Riesgos de Corrupción'!#REF!="Catastrófico"),CONCATENATE("R5C",'Mapa de Riesgos de Corrupción'!#REF!),"")</f>
        <v>#REF!</v>
      </c>
      <c r="AM30" s="172" t="str">
        <f ca="1">IF(AND('Mapa de Riesgos de Corrupción'!$AC$18="Media",'Mapa de Riesgos de Corrupción'!$AE$18="Catastrófico"),CONCATENATE("R5C",'Mapa de Riesgos de Corrupción'!$R$18),"")</f>
        <v/>
      </c>
      <c r="AN30" s="122"/>
      <c r="AO30" s="312"/>
      <c r="AP30" s="224"/>
      <c r="AQ30" s="224"/>
      <c r="AR30" s="224"/>
      <c r="AS30" s="224"/>
      <c r="AT30" s="313"/>
      <c r="AU30" s="122"/>
      <c r="AV30" s="122"/>
      <c r="AW30" s="122"/>
      <c r="AX30" s="122"/>
      <c r="AY30" s="122"/>
      <c r="AZ30" s="122"/>
      <c r="BA30" s="122"/>
      <c r="BB30" s="122"/>
      <c r="BC30" s="122"/>
      <c r="BD30" s="122"/>
      <c r="BE30" s="122"/>
      <c r="BF30" s="122"/>
      <c r="BG30" s="122"/>
      <c r="BH30" s="122"/>
      <c r="BI30" s="122"/>
    </row>
    <row r="31" spans="1:61" ht="15" customHeight="1">
      <c r="A31" s="122"/>
      <c r="B31" s="293"/>
      <c r="C31" s="224"/>
      <c r="D31" s="265"/>
      <c r="E31" s="223"/>
      <c r="F31" s="224"/>
      <c r="G31" s="224"/>
      <c r="H31" s="224"/>
      <c r="I31" s="265"/>
      <c r="J31" s="182" t="e">
        <f>IF(AND('Mapa de Riesgos de Corrupción'!#REF!="Media",'Mapa de Riesgos de Corrupción'!#REF!="Leve"),CONCATENATE("R6C",'Mapa de Riesgos de Corrupción'!#REF!),"")</f>
        <v>#REF!</v>
      </c>
      <c r="K31" s="183" t="e">
        <f>IF(AND('Mapa de Riesgos de Corrupción'!#REF!="Media",'Mapa de Riesgos de Corrupción'!#REF!="Leve"),CONCATENATE("R6C",'Mapa de Riesgos de Corrupción'!#REF!),"")</f>
        <v>#REF!</v>
      </c>
      <c r="L31" s="183" t="e">
        <f>IF(AND('Mapa de Riesgos de Corrupción'!#REF!="Media",'Mapa de Riesgos de Corrupción'!#REF!="Leve"),CONCATENATE("R6C",'Mapa de Riesgos de Corrupción'!#REF!),"")</f>
        <v>#REF!</v>
      </c>
      <c r="M31" s="183" t="e">
        <f>IF(AND('Mapa de Riesgos de Corrupción'!#REF!="Media",'Mapa de Riesgos de Corrupción'!#REF!="Leve"),CONCATENATE("R6C",'Mapa de Riesgos de Corrupción'!#REF!),"")</f>
        <v>#REF!</v>
      </c>
      <c r="N31" s="183" t="e">
        <f>IF(AND('Mapa de Riesgos de Corrupción'!#REF!="Media",'Mapa de Riesgos de Corrupción'!#REF!="Leve"),CONCATENATE("R6C",'Mapa de Riesgos de Corrupción'!#REF!),"")</f>
        <v>#REF!</v>
      </c>
      <c r="O31" s="184" t="e">
        <f>IF(AND('Mapa de Riesgos de Corrupción'!#REF!="Media",'Mapa de Riesgos de Corrupción'!#REF!="Leve"),CONCATENATE("R6C",'Mapa de Riesgos de Corrupción'!#REF!),"")</f>
        <v>#REF!</v>
      </c>
      <c r="P31" s="182" t="e">
        <f>IF(AND('Mapa de Riesgos de Corrupción'!#REF!="Media",'Mapa de Riesgos de Corrupción'!#REF!="Menor"),CONCATENATE("R6C",'Mapa de Riesgos de Corrupción'!#REF!),"")</f>
        <v>#REF!</v>
      </c>
      <c r="Q31" s="183" t="e">
        <f>IF(AND('Mapa de Riesgos de Corrupción'!#REF!="Media",'Mapa de Riesgos de Corrupción'!#REF!="Menor"),CONCATENATE("R6C",'Mapa de Riesgos de Corrupción'!#REF!),"")</f>
        <v>#REF!</v>
      </c>
      <c r="R31" s="183" t="e">
        <f>IF(AND('Mapa de Riesgos de Corrupción'!#REF!="Media",'Mapa de Riesgos de Corrupción'!#REF!="Menor"),CONCATENATE("R6C",'Mapa de Riesgos de Corrupción'!#REF!),"")</f>
        <v>#REF!</v>
      </c>
      <c r="S31" s="183" t="e">
        <f>IF(AND('Mapa de Riesgos de Corrupción'!#REF!="Media",'Mapa de Riesgos de Corrupción'!#REF!="Menor"),CONCATENATE("R6C",'Mapa de Riesgos de Corrupción'!#REF!),"")</f>
        <v>#REF!</v>
      </c>
      <c r="T31" s="183" t="e">
        <f>IF(AND('Mapa de Riesgos de Corrupción'!#REF!="Media",'Mapa de Riesgos de Corrupción'!#REF!="Menor"),CONCATENATE("R6C",'Mapa de Riesgos de Corrupción'!#REF!),"")</f>
        <v>#REF!</v>
      </c>
      <c r="U31" s="184" t="e">
        <f>IF(AND('Mapa de Riesgos de Corrupción'!#REF!="Media",'Mapa de Riesgos de Corrupción'!#REF!="Menor"),CONCATENATE("R6C",'Mapa de Riesgos de Corrupción'!#REF!),"")</f>
        <v>#REF!</v>
      </c>
      <c r="V31" s="182" t="e">
        <f>IF(AND('Mapa de Riesgos de Corrupción'!#REF!="Media",'Mapa de Riesgos de Corrupción'!#REF!="Moderado"),CONCATENATE("R6C",'Mapa de Riesgos de Corrupción'!#REF!),"")</f>
        <v>#REF!</v>
      </c>
      <c r="W31" s="183" t="e">
        <f>IF(AND('Mapa de Riesgos de Corrupción'!#REF!="Media",'Mapa de Riesgos de Corrupción'!#REF!="Moderado"),CONCATENATE("R6C",'Mapa de Riesgos de Corrupción'!#REF!),"")</f>
        <v>#REF!</v>
      </c>
      <c r="X31" s="183" t="e">
        <f>IF(AND('Mapa de Riesgos de Corrupción'!#REF!="Media",'Mapa de Riesgos de Corrupción'!#REF!="Moderado"),CONCATENATE("R6C",'Mapa de Riesgos de Corrupción'!#REF!),"")</f>
        <v>#REF!</v>
      </c>
      <c r="Y31" s="183" t="e">
        <f>IF(AND('Mapa de Riesgos de Corrupción'!#REF!="Media",'Mapa de Riesgos de Corrupción'!#REF!="Moderado"),CONCATENATE("R6C",'Mapa de Riesgos de Corrupción'!#REF!),"")</f>
        <v>#REF!</v>
      </c>
      <c r="Z31" s="183" t="e">
        <f>IF(AND('Mapa de Riesgos de Corrupción'!#REF!="Media",'Mapa de Riesgos de Corrupción'!#REF!="Moderado"),CONCATENATE("R6C",'Mapa de Riesgos de Corrupción'!#REF!),"")</f>
        <v>#REF!</v>
      </c>
      <c r="AA31" s="184" t="e">
        <f>IF(AND('Mapa de Riesgos de Corrupción'!#REF!="Media",'Mapa de Riesgos de Corrupción'!#REF!="Moderado"),CONCATENATE("R6C",'Mapa de Riesgos de Corrupción'!#REF!),"")</f>
        <v>#REF!</v>
      </c>
      <c r="AB31" s="167" t="e">
        <f>IF(AND('Mapa de Riesgos de Corrupción'!#REF!="Media",'Mapa de Riesgos de Corrupción'!#REF!="Mayor"),CONCATENATE("R6C",'Mapa de Riesgos de Corrupción'!#REF!),"")</f>
        <v>#REF!</v>
      </c>
      <c r="AC31" s="168" t="e">
        <f>IF(AND('Mapa de Riesgos de Corrupción'!#REF!="Media",'Mapa de Riesgos de Corrupción'!#REF!="Mayor"),CONCATENATE("R6C",'Mapa de Riesgos de Corrupción'!#REF!),"")</f>
        <v>#REF!</v>
      </c>
      <c r="AD31" s="168" t="e">
        <f>IF(AND('Mapa de Riesgos de Corrupción'!#REF!="Media",'Mapa de Riesgos de Corrupción'!#REF!="Mayor"),CONCATENATE("R6C",'Mapa de Riesgos de Corrupción'!#REF!),"")</f>
        <v>#REF!</v>
      </c>
      <c r="AE31" s="168" t="e">
        <f>IF(AND('Mapa de Riesgos de Corrupción'!#REF!="Media",'Mapa de Riesgos de Corrupción'!#REF!="Mayor"),CONCATENATE("R6C",'Mapa de Riesgos de Corrupción'!#REF!),"")</f>
        <v>#REF!</v>
      </c>
      <c r="AF31" s="168" t="e">
        <f>IF(AND('Mapa de Riesgos de Corrupción'!#REF!="Media",'Mapa de Riesgos de Corrupción'!#REF!="Mayor"),CONCATENATE("R6C",'Mapa de Riesgos de Corrupción'!#REF!),"")</f>
        <v>#REF!</v>
      </c>
      <c r="AG31" s="169" t="e">
        <f>IF(AND('Mapa de Riesgos de Corrupción'!#REF!="Media",'Mapa de Riesgos de Corrupción'!#REF!="Mayor"),CONCATENATE("R6C",'Mapa de Riesgos de Corrupción'!#REF!),"")</f>
        <v>#REF!</v>
      </c>
      <c r="AH31" s="170" t="e">
        <f>IF(AND('Mapa de Riesgos de Corrupción'!#REF!="Media",'Mapa de Riesgos de Corrupción'!#REF!="Catastrófico"),CONCATENATE("R6C",'Mapa de Riesgos de Corrupción'!#REF!),"")</f>
        <v>#REF!</v>
      </c>
      <c r="AI31" s="171" t="e">
        <f>IF(AND('Mapa de Riesgos de Corrupción'!#REF!="Media",'Mapa de Riesgos de Corrupción'!#REF!="Catastrófico"),CONCATENATE("R6C",'Mapa de Riesgos de Corrupción'!#REF!),"")</f>
        <v>#REF!</v>
      </c>
      <c r="AJ31" s="171" t="e">
        <f>IF(AND('Mapa de Riesgos de Corrupción'!#REF!="Media",'Mapa de Riesgos de Corrupción'!#REF!="Catastrófico"),CONCATENATE("R6C",'Mapa de Riesgos de Corrupción'!#REF!),"")</f>
        <v>#REF!</v>
      </c>
      <c r="AK31" s="171" t="e">
        <f>IF(AND('Mapa de Riesgos de Corrupción'!#REF!="Media",'Mapa de Riesgos de Corrupción'!#REF!="Catastrófico"),CONCATENATE("R6C",'Mapa de Riesgos de Corrupción'!#REF!),"")</f>
        <v>#REF!</v>
      </c>
      <c r="AL31" s="171" t="e">
        <f>IF(AND('Mapa de Riesgos de Corrupción'!#REF!="Media",'Mapa de Riesgos de Corrupción'!#REF!="Catastrófico"),CONCATENATE("R6C",'Mapa de Riesgos de Corrupción'!#REF!),"")</f>
        <v>#REF!</v>
      </c>
      <c r="AM31" s="172" t="e">
        <f>IF(AND('Mapa de Riesgos de Corrupción'!#REF!="Media",'Mapa de Riesgos de Corrupción'!#REF!="Catastrófico"),CONCATENATE("R6C",'Mapa de Riesgos de Corrupción'!#REF!),"")</f>
        <v>#REF!</v>
      </c>
      <c r="AN31" s="122"/>
      <c r="AO31" s="312"/>
      <c r="AP31" s="224"/>
      <c r="AQ31" s="224"/>
      <c r="AR31" s="224"/>
      <c r="AS31" s="224"/>
      <c r="AT31" s="313"/>
      <c r="AU31" s="122"/>
      <c r="AV31" s="122"/>
      <c r="AW31" s="122"/>
      <c r="AX31" s="122"/>
      <c r="AY31" s="122"/>
      <c r="AZ31" s="122"/>
      <c r="BA31" s="122"/>
      <c r="BB31" s="122"/>
      <c r="BC31" s="122"/>
      <c r="BD31" s="122"/>
      <c r="BE31" s="122"/>
      <c r="BF31" s="122"/>
      <c r="BG31" s="122"/>
      <c r="BH31" s="122"/>
      <c r="BI31" s="122"/>
    </row>
    <row r="32" spans="1:61" ht="15" customHeight="1">
      <c r="A32" s="122"/>
      <c r="B32" s="293"/>
      <c r="C32" s="224"/>
      <c r="D32" s="265"/>
      <c r="E32" s="223"/>
      <c r="F32" s="224"/>
      <c r="G32" s="224"/>
      <c r="H32" s="224"/>
      <c r="I32" s="265"/>
      <c r="J32" s="182" t="e">
        <f>IF(AND('Mapa de Riesgos de Corrupción'!#REF!="Media",'Mapa de Riesgos de Corrupción'!#REF!="Leve"),CONCATENATE("R7C",'Mapa de Riesgos de Corrupción'!#REF!),"")</f>
        <v>#REF!</v>
      </c>
      <c r="K32" s="183" t="str">
        <f ca="1">IF(AND('Mapa de Riesgos de Corrupción'!$AC$19="Media",'Mapa de Riesgos de Corrupción'!$AE$19="Leve"),CONCATENATE("R7C",'Mapa de Riesgos de Corrupción'!$R$19),"")</f>
        <v/>
      </c>
      <c r="L32" s="183" t="e">
        <f>IF(AND('Mapa de Riesgos de Corrupción'!#REF!="Media",'Mapa de Riesgos de Corrupción'!#REF!="Leve"),CONCATENATE("R7C",'Mapa de Riesgos de Corrupción'!#REF!),"")</f>
        <v>#REF!</v>
      </c>
      <c r="M32" s="183" t="str">
        <f ca="1">IF(AND('Mapa de Riesgos de Corrupción'!$AC$20="Media",'Mapa de Riesgos de Corrupción'!$AE$20="Leve"),CONCATENATE("R7C",'Mapa de Riesgos de Corrupción'!$R$20),"")</f>
        <v/>
      </c>
      <c r="N32" s="183" t="e">
        <f>IF(AND('Mapa de Riesgos de Corrupción'!#REF!="Media",'Mapa de Riesgos de Corrupción'!#REF!="Leve"),CONCATENATE("R7C",'Mapa de Riesgos de Corrupción'!#REF!),"")</f>
        <v>#REF!</v>
      </c>
      <c r="O32" s="184" t="e">
        <f>IF(AND('Mapa de Riesgos de Corrupción'!#REF!="Media",'Mapa de Riesgos de Corrupción'!#REF!="Leve"),CONCATENATE("R7C",'Mapa de Riesgos de Corrupción'!#REF!),"")</f>
        <v>#REF!</v>
      </c>
      <c r="P32" s="182" t="e">
        <f>IF(AND('Mapa de Riesgos de Corrupción'!#REF!="Media",'Mapa de Riesgos de Corrupción'!#REF!="Menor"),CONCATENATE("R7C",'Mapa de Riesgos de Corrupción'!#REF!),"")</f>
        <v>#REF!</v>
      </c>
      <c r="Q32" s="183" t="str">
        <f ca="1">IF(AND('Mapa de Riesgos de Corrupción'!$AC$19="Media",'Mapa de Riesgos de Corrupción'!$AE$19="Menor"),CONCATENATE("R7C",'Mapa de Riesgos de Corrupción'!$R$19),"")</f>
        <v/>
      </c>
      <c r="R32" s="183" t="e">
        <f>IF(AND('Mapa de Riesgos de Corrupción'!#REF!="Media",'Mapa de Riesgos de Corrupción'!#REF!="Menor"),CONCATENATE("R7C",'Mapa de Riesgos de Corrupción'!#REF!),"")</f>
        <v>#REF!</v>
      </c>
      <c r="S32" s="183" t="str">
        <f ca="1">IF(AND('Mapa de Riesgos de Corrupción'!$AC$20="Media",'Mapa de Riesgos de Corrupción'!$AE$20="Menor"),CONCATENATE("R7C",'Mapa de Riesgos de Corrupción'!$R$20),"")</f>
        <v/>
      </c>
      <c r="T32" s="183" t="e">
        <f>IF(AND('Mapa de Riesgos de Corrupción'!#REF!="Media",'Mapa de Riesgos de Corrupción'!#REF!="Menor"),CONCATENATE("R7C",'Mapa de Riesgos de Corrupción'!#REF!),"")</f>
        <v>#REF!</v>
      </c>
      <c r="U32" s="184" t="e">
        <f>IF(AND('Mapa de Riesgos de Corrupción'!#REF!="Media",'Mapa de Riesgos de Corrupción'!#REF!="Menor"),CONCATENATE("R7C",'Mapa de Riesgos de Corrupción'!#REF!),"")</f>
        <v>#REF!</v>
      </c>
      <c r="V32" s="182" t="e">
        <f>IF(AND('Mapa de Riesgos de Corrupción'!#REF!="Media",'Mapa de Riesgos de Corrupción'!#REF!="Moderado"),CONCATENATE("R7C",'Mapa de Riesgos de Corrupción'!#REF!),"")</f>
        <v>#REF!</v>
      </c>
      <c r="W32" s="183" t="str">
        <f ca="1">IF(AND('Mapa de Riesgos de Corrupción'!$AC$19="Media",'Mapa de Riesgos de Corrupción'!$AE$19="Moderado"),CONCATENATE("R7C",'Mapa de Riesgos de Corrupción'!$R$19),"")</f>
        <v/>
      </c>
      <c r="X32" s="183" t="e">
        <f>IF(AND('Mapa de Riesgos de Corrupción'!#REF!="Media",'Mapa de Riesgos de Corrupción'!#REF!="Moderado"),CONCATENATE("R7C",'Mapa de Riesgos de Corrupción'!#REF!),"")</f>
        <v>#REF!</v>
      </c>
      <c r="Y32" s="183" t="str">
        <f ca="1">IF(AND('Mapa de Riesgos de Corrupción'!$AC$20="Media",'Mapa de Riesgos de Corrupción'!$AE$20="Moderado"),CONCATENATE("R7C",'Mapa de Riesgos de Corrupción'!$R$20),"")</f>
        <v/>
      </c>
      <c r="Z32" s="183" t="e">
        <f>IF(AND('Mapa de Riesgos de Corrupción'!#REF!="Media",'Mapa de Riesgos de Corrupción'!#REF!="Moderado"),CONCATENATE("R7C",'Mapa de Riesgos de Corrupción'!#REF!),"")</f>
        <v>#REF!</v>
      </c>
      <c r="AA32" s="184" t="e">
        <f>IF(AND('Mapa de Riesgos de Corrupción'!#REF!="Media",'Mapa de Riesgos de Corrupción'!#REF!="Moderado"),CONCATENATE("R7C",'Mapa de Riesgos de Corrupción'!#REF!),"")</f>
        <v>#REF!</v>
      </c>
      <c r="AB32" s="167" t="e">
        <f>IF(AND('Mapa de Riesgos de Corrupción'!#REF!="Media",'Mapa de Riesgos de Corrupción'!#REF!="Mayor"),CONCATENATE("R7C",'Mapa de Riesgos de Corrupción'!#REF!),"")</f>
        <v>#REF!</v>
      </c>
      <c r="AC32" s="168" t="str">
        <f ca="1">IF(AND('Mapa de Riesgos de Corrupción'!$AC$19="Media",'Mapa de Riesgos de Corrupción'!$AE$19="Mayor"),CONCATENATE("R7C",'Mapa de Riesgos de Corrupción'!$R$19),"")</f>
        <v/>
      </c>
      <c r="AD32" s="168" t="e">
        <f>IF(AND('Mapa de Riesgos de Corrupción'!#REF!="Media",'Mapa de Riesgos de Corrupción'!#REF!="Mayor"),CONCATENATE("R7C",'Mapa de Riesgos de Corrupción'!#REF!),"")</f>
        <v>#REF!</v>
      </c>
      <c r="AE32" s="168" t="str">
        <f ca="1">IF(AND('Mapa de Riesgos de Corrupción'!$AC$20="Media",'Mapa de Riesgos de Corrupción'!$AE$20="Mayor"),CONCATENATE("R7C",'Mapa de Riesgos de Corrupción'!$R$20),"")</f>
        <v/>
      </c>
      <c r="AF32" s="168" t="e">
        <f>IF(AND('Mapa de Riesgos de Corrupción'!#REF!="Media",'Mapa de Riesgos de Corrupción'!#REF!="Mayor"),CONCATENATE("R7C",'Mapa de Riesgos de Corrupción'!#REF!),"")</f>
        <v>#REF!</v>
      </c>
      <c r="AG32" s="169" t="e">
        <f>IF(AND('Mapa de Riesgos de Corrupción'!#REF!="Media",'Mapa de Riesgos de Corrupción'!#REF!="Mayor"),CONCATENATE("R7C",'Mapa de Riesgos de Corrupción'!#REF!),"")</f>
        <v>#REF!</v>
      </c>
      <c r="AH32" s="170" t="e">
        <f>IF(AND('Mapa de Riesgos de Corrupción'!#REF!="Media",'Mapa de Riesgos de Corrupción'!#REF!="Catastrófico"),CONCATENATE("R7C",'Mapa de Riesgos de Corrupción'!#REF!),"")</f>
        <v>#REF!</v>
      </c>
      <c r="AI32" s="171" t="str">
        <f ca="1">IF(AND('Mapa de Riesgos de Corrupción'!$AC$19="Media",'Mapa de Riesgos de Corrupción'!$AE$19="Catastrófico"),CONCATENATE("R7C",'Mapa de Riesgos de Corrupción'!$R$19),"")</f>
        <v/>
      </c>
      <c r="AJ32" s="171" t="e">
        <f>IF(AND('Mapa de Riesgos de Corrupción'!#REF!="Media",'Mapa de Riesgos de Corrupción'!#REF!="Catastrófico"),CONCATENATE("R7C",'Mapa de Riesgos de Corrupción'!#REF!),"")</f>
        <v>#REF!</v>
      </c>
      <c r="AK32" s="171" t="str">
        <f ca="1">IF(AND('Mapa de Riesgos de Corrupción'!$AC$20="Media",'Mapa de Riesgos de Corrupción'!$AE$20="Catastrófico"),CONCATENATE("R7C",'Mapa de Riesgos de Corrupción'!$R$20),"")</f>
        <v>R7C13</v>
      </c>
      <c r="AL32" s="171" t="e">
        <f>IF(AND('Mapa de Riesgos de Corrupción'!#REF!="Media",'Mapa de Riesgos de Corrupción'!#REF!="Catastrófico"),CONCATENATE("R7C",'Mapa de Riesgos de Corrupción'!#REF!),"")</f>
        <v>#REF!</v>
      </c>
      <c r="AM32" s="172" t="e">
        <f>IF(AND('Mapa de Riesgos de Corrupción'!#REF!="Media",'Mapa de Riesgos de Corrupción'!#REF!="Catastrófico"),CONCATENATE("R7C",'Mapa de Riesgos de Corrupción'!#REF!),"")</f>
        <v>#REF!</v>
      </c>
      <c r="AN32" s="122"/>
      <c r="AO32" s="312"/>
      <c r="AP32" s="224"/>
      <c r="AQ32" s="224"/>
      <c r="AR32" s="224"/>
      <c r="AS32" s="224"/>
      <c r="AT32" s="313"/>
      <c r="AU32" s="122"/>
      <c r="AV32" s="122"/>
      <c r="AW32" s="122"/>
      <c r="AX32" s="122"/>
      <c r="AY32" s="122"/>
      <c r="AZ32" s="122"/>
      <c r="BA32" s="122"/>
      <c r="BB32" s="122"/>
      <c r="BC32" s="122"/>
      <c r="BD32" s="122"/>
      <c r="BE32" s="122"/>
      <c r="BF32" s="122"/>
      <c r="BG32" s="122"/>
      <c r="BH32" s="122"/>
      <c r="BI32" s="122"/>
    </row>
    <row r="33" spans="1:61" ht="15" customHeight="1">
      <c r="A33" s="122"/>
      <c r="B33" s="293"/>
      <c r="C33" s="224"/>
      <c r="D33" s="265"/>
      <c r="E33" s="223"/>
      <c r="F33" s="224"/>
      <c r="G33" s="224"/>
      <c r="H33" s="224"/>
      <c r="I33" s="265"/>
      <c r="J33" s="182" t="e">
        <f>IF(AND('Mapa de Riesgos de Corrupción'!#REF!="Media",'Mapa de Riesgos de Corrupción'!#REF!="Leve"),CONCATENATE("R8C",'Mapa de Riesgos de Corrupción'!#REF!),"")</f>
        <v>#REF!</v>
      </c>
      <c r="K33" s="183" t="e">
        <f>IF(AND('Mapa de Riesgos de Corrupción'!#REF!="Media",'Mapa de Riesgos de Corrupción'!#REF!="Leve"),CONCATENATE("R8C",'Mapa de Riesgos de Corrupción'!#REF!),"")</f>
        <v>#REF!</v>
      </c>
      <c r="L33" s="183" t="e">
        <f>IF(AND('Mapa de Riesgos de Corrupción'!#REF!="Media",'Mapa de Riesgos de Corrupción'!#REF!="Leve"),CONCATENATE("R8C",'Mapa de Riesgos de Corrupción'!#REF!),"")</f>
        <v>#REF!</v>
      </c>
      <c r="M33" s="183" t="e">
        <f>IF(AND('Mapa de Riesgos de Corrupción'!#REF!="Media",'Mapa de Riesgos de Corrupción'!#REF!="Leve"),CONCATENATE("R8C",'Mapa de Riesgos de Corrupción'!#REF!),"")</f>
        <v>#REF!</v>
      </c>
      <c r="N33" s="183" t="e">
        <f>IF(AND('Mapa de Riesgos de Corrupción'!#REF!="Media",'Mapa de Riesgos de Corrupción'!#REF!="Leve"),CONCATENATE("R8C",'Mapa de Riesgos de Corrupción'!#REF!),"")</f>
        <v>#REF!</v>
      </c>
      <c r="O33" s="184" t="e">
        <f>IF(AND('Mapa de Riesgos de Corrupción'!#REF!="Media",'Mapa de Riesgos de Corrupción'!#REF!="Leve"),CONCATENATE("R8C",'Mapa de Riesgos de Corrupción'!#REF!),"")</f>
        <v>#REF!</v>
      </c>
      <c r="P33" s="182" t="e">
        <f>IF(AND('Mapa de Riesgos de Corrupción'!#REF!="Media",'Mapa de Riesgos de Corrupción'!#REF!="Menor"),CONCATENATE("R8C",'Mapa de Riesgos de Corrupción'!#REF!),"")</f>
        <v>#REF!</v>
      </c>
      <c r="Q33" s="183" t="e">
        <f>IF(AND('Mapa de Riesgos de Corrupción'!#REF!="Media",'Mapa de Riesgos de Corrupción'!#REF!="Menor"),CONCATENATE("R8C",'Mapa de Riesgos de Corrupción'!#REF!),"")</f>
        <v>#REF!</v>
      </c>
      <c r="R33" s="183" t="e">
        <f>IF(AND('Mapa de Riesgos de Corrupción'!#REF!="Media",'Mapa de Riesgos de Corrupción'!#REF!="Menor"),CONCATENATE("R8C",'Mapa de Riesgos de Corrupción'!#REF!),"")</f>
        <v>#REF!</v>
      </c>
      <c r="S33" s="183" t="e">
        <f>IF(AND('Mapa de Riesgos de Corrupción'!#REF!="Media",'Mapa de Riesgos de Corrupción'!#REF!="Menor"),CONCATENATE("R8C",'Mapa de Riesgos de Corrupción'!#REF!),"")</f>
        <v>#REF!</v>
      </c>
      <c r="T33" s="183" t="e">
        <f>IF(AND('Mapa de Riesgos de Corrupción'!#REF!="Media",'Mapa de Riesgos de Corrupción'!#REF!="Menor"),CONCATENATE("R8C",'Mapa de Riesgos de Corrupción'!#REF!),"")</f>
        <v>#REF!</v>
      </c>
      <c r="U33" s="184" t="e">
        <f>IF(AND('Mapa de Riesgos de Corrupción'!#REF!="Media",'Mapa de Riesgos de Corrupción'!#REF!="Menor"),CONCATENATE("R8C",'Mapa de Riesgos de Corrupción'!#REF!),"")</f>
        <v>#REF!</v>
      </c>
      <c r="V33" s="182" t="e">
        <f>IF(AND('Mapa de Riesgos de Corrupción'!#REF!="Media",'Mapa de Riesgos de Corrupción'!#REF!="Moderado"),CONCATENATE("R8C",'Mapa de Riesgos de Corrupción'!#REF!),"")</f>
        <v>#REF!</v>
      </c>
      <c r="W33" s="183" t="e">
        <f>IF(AND('Mapa de Riesgos de Corrupción'!#REF!="Media",'Mapa de Riesgos de Corrupción'!#REF!="Moderado"),CONCATENATE("R8C",'Mapa de Riesgos de Corrupción'!#REF!),"")</f>
        <v>#REF!</v>
      </c>
      <c r="X33" s="183" t="e">
        <f>IF(AND('Mapa de Riesgos de Corrupción'!#REF!="Media",'Mapa de Riesgos de Corrupción'!#REF!="Moderado"),CONCATENATE("R8C",'Mapa de Riesgos de Corrupción'!#REF!),"")</f>
        <v>#REF!</v>
      </c>
      <c r="Y33" s="183" t="e">
        <f>IF(AND('Mapa de Riesgos de Corrupción'!#REF!="Media",'Mapa de Riesgos de Corrupción'!#REF!="Moderado"),CONCATENATE("R8C",'Mapa de Riesgos de Corrupción'!#REF!),"")</f>
        <v>#REF!</v>
      </c>
      <c r="Z33" s="183" t="e">
        <f>IF(AND('Mapa de Riesgos de Corrupción'!#REF!="Media",'Mapa de Riesgos de Corrupción'!#REF!="Moderado"),CONCATENATE("R8C",'Mapa de Riesgos de Corrupción'!#REF!),"")</f>
        <v>#REF!</v>
      </c>
      <c r="AA33" s="184" t="e">
        <f>IF(AND('Mapa de Riesgos de Corrupción'!#REF!="Media",'Mapa de Riesgos de Corrupción'!#REF!="Moderado"),CONCATENATE("R8C",'Mapa de Riesgos de Corrupción'!#REF!),"")</f>
        <v>#REF!</v>
      </c>
      <c r="AB33" s="167" t="e">
        <f>IF(AND('Mapa de Riesgos de Corrupción'!#REF!="Media",'Mapa de Riesgos de Corrupción'!#REF!="Mayor"),CONCATENATE("R8C",'Mapa de Riesgos de Corrupción'!#REF!),"")</f>
        <v>#REF!</v>
      </c>
      <c r="AC33" s="168" t="e">
        <f>IF(AND('Mapa de Riesgos de Corrupción'!#REF!="Media",'Mapa de Riesgos de Corrupción'!#REF!="Mayor"),CONCATENATE("R8C",'Mapa de Riesgos de Corrupción'!#REF!),"")</f>
        <v>#REF!</v>
      </c>
      <c r="AD33" s="168" t="e">
        <f>IF(AND('Mapa de Riesgos de Corrupción'!#REF!="Media",'Mapa de Riesgos de Corrupción'!#REF!="Mayor"),CONCATENATE("R8C",'Mapa de Riesgos de Corrupción'!#REF!),"")</f>
        <v>#REF!</v>
      </c>
      <c r="AE33" s="168" t="e">
        <f>IF(AND('Mapa de Riesgos de Corrupción'!#REF!="Media",'Mapa de Riesgos de Corrupción'!#REF!="Mayor"),CONCATENATE("R8C",'Mapa de Riesgos de Corrupción'!#REF!),"")</f>
        <v>#REF!</v>
      </c>
      <c r="AF33" s="168" t="e">
        <f>IF(AND('Mapa de Riesgos de Corrupción'!#REF!="Media",'Mapa de Riesgos de Corrupción'!#REF!="Mayor"),CONCATENATE("R8C",'Mapa de Riesgos de Corrupción'!#REF!),"")</f>
        <v>#REF!</v>
      </c>
      <c r="AG33" s="169" t="e">
        <f>IF(AND('Mapa de Riesgos de Corrupción'!#REF!="Media",'Mapa de Riesgos de Corrupción'!#REF!="Mayor"),CONCATENATE("R8C",'Mapa de Riesgos de Corrupción'!#REF!),"")</f>
        <v>#REF!</v>
      </c>
      <c r="AH33" s="170" t="e">
        <f>IF(AND('Mapa de Riesgos de Corrupción'!#REF!="Media",'Mapa de Riesgos de Corrupción'!#REF!="Catastrófico"),CONCATENATE("R8C",'Mapa de Riesgos de Corrupción'!#REF!),"")</f>
        <v>#REF!</v>
      </c>
      <c r="AI33" s="171" t="e">
        <f>IF(AND('Mapa de Riesgos de Corrupción'!#REF!="Media",'Mapa de Riesgos de Corrupción'!#REF!="Catastrófico"),CONCATENATE("R8C",'Mapa de Riesgos de Corrupción'!#REF!),"")</f>
        <v>#REF!</v>
      </c>
      <c r="AJ33" s="171" t="e">
        <f>IF(AND('Mapa de Riesgos de Corrupción'!#REF!="Media",'Mapa de Riesgos de Corrupción'!#REF!="Catastrófico"),CONCATENATE("R8C",'Mapa de Riesgos de Corrupción'!#REF!),"")</f>
        <v>#REF!</v>
      </c>
      <c r="AK33" s="171" t="e">
        <f>IF(AND('Mapa de Riesgos de Corrupción'!#REF!="Media",'Mapa de Riesgos de Corrupción'!#REF!="Catastrófico"),CONCATENATE("R8C",'Mapa de Riesgos de Corrupción'!#REF!),"")</f>
        <v>#REF!</v>
      </c>
      <c r="AL33" s="171" t="e">
        <f>IF(AND('Mapa de Riesgos de Corrupción'!#REF!="Media",'Mapa de Riesgos de Corrupción'!#REF!="Catastrófico"),CONCATENATE("R8C",'Mapa de Riesgos de Corrupción'!#REF!),"")</f>
        <v>#REF!</v>
      </c>
      <c r="AM33" s="172" t="e">
        <f>IF(AND('Mapa de Riesgos de Corrupción'!#REF!="Media",'Mapa de Riesgos de Corrupción'!#REF!="Catastrófico"),CONCATENATE("R8C",'Mapa de Riesgos de Corrupción'!#REF!),"")</f>
        <v>#REF!</v>
      </c>
      <c r="AN33" s="122"/>
      <c r="AO33" s="312"/>
      <c r="AP33" s="224"/>
      <c r="AQ33" s="224"/>
      <c r="AR33" s="224"/>
      <c r="AS33" s="224"/>
      <c r="AT33" s="313"/>
      <c r="AU33" s="122"/>
      <c r="AV33" s="122"/>
      <c r="AW33" s="122"/>
      <c r="AX33" s="122"/>
      <c r="AY33" s="122"/>
      <c r="AZ33" s="122"/>
      <c r="BA33" s="122"/>
      <c r="BB33" s="122"/>
      <c r="BC33" s="122"/>
      <c r="BD33" s="122"/>
      <c r="BE33" s="122"/>
      <c r="BF33" s="122"/>
      <c r="BG33" s="122"/>
      <c r="BH33" s="122"/>
      <c r="BI33" s="122"/>
    </row>
    <row r="34" spans="1:61" ht="15" customHeight="1">
      <c r="A34" s="122"/>
      <c r="B34" s="293"/>
      <c r="C34" s="224"/>
      <c r="D34" s="265"/>
      <c r="E34" s="223"/>
      <c r="F34" s="224"/>
      <c r="G34" s="224"/>
      <c r="H34" s="224"/>
      <c r="I34" s="265"/>
      <c r="J34" s="182" t="e">
        <f>IF(AND('Mapa de Riesgos de Corrupción'!#REF!="Media",'Mapa de Riesgos de Corrupción'!#REF!="Leve"),CONCATENATE("R9C",'Mapa de Riesgos de Corrupción'!#REF!),"")</f>
        <v>#REF!</v>
      </c>
      <c r="K34" s="183" t="e">
        <f>IF(AND('Mapa de Riesgos de Corrupción'!#REF!="Media",'Mapa de Riesgos de Corrupción'!#REF!="Leve"),CONCATENATE("R9C",'Mapa de Riesgos de Corrupción'!#REF!),"")</f>
        <v>#REF!</v>
      </c>
      <c r="L34" s="183" t="e">
        <f>IF(AND('Mapa de Riesgos de Corrupción'!#REF!="Media",'Mapa de Riesgos de Corrupción'!#REF!="Leve"),CONCATENATE("R9C",'Mapa de Riesgos de Corrupción'!#REF!),"")</f>
        <v>#REF!</v>
      </c>
      <c r="M34" s="183" t="e">
        <f>IF(AND('Mapa de Riesgos de Corrupción'!#REF!="Media",'Mapa de Riesgos de Corrupción'!#REF!="Leve"),CONCATENATE("R9C",'Mapa de Riesgos de Corrupción'!#REF!),"")</f>
        <v>#REF!</v>
      </c>
      <c r="N34" s="183" t="e">
        <f>IF(AND('Mapa de Riesgos de Corrupción'!#REF!="Media",'Mapa de Riesgos de Corrupción'!#REF!="Leve"),CONCATENATE("R9C",'Mapa de Riesgos de Corrupción'!#REF!),"")</f>
        <v>#REF!</v>
      </c>
      <c r="O34" s="184" t="e">
        <f>IF(AND('Mapa de Riesgos de Corrupción'!#REF!="Media",'Mapa de Riesgos de Corrupción'!#REF!="Leve"),CONCATENATE("R9C",'Mapa de Riesgos de Corrupción'!#REF!),"")</f>
        <v>#REF!</v>
      </c>
      <c r="P34" s="182" t="e">
        <f>IF(AND('Mapa de Riesgos de Corrupción'!#REF!="Media",'Mapa de Riesgos de Corrupción'!#REF!="Menor"),CONCATENATE("R9C",'Mapa de Riesgos de Corrupción'!#REF!),"")</f>
        <v>#REF!</v>
      </c>
      <c r="Q34" s="183" t="e">
        <f>IF(AND('Mapa de Riesgos de Corrupción'!#REF!="Media",'Mapa de Riesgos de Corrupción'!#REF!="Menor"),CONCATENATE("R9C",'Mapa de Riesgos de Corrupción'!#REF!),"")</f>
        <v>#REF!</v>
      </c>
      <c r="R34" s="183" t="e">
        <f>IF(AND('Mapa de Riesgos de Corrupción'!#REF!="Media",'Mapa de Riesgos de Corrupción'!#REF!="Menor"),CONCATENATE("R9C",'Mapa de Riesgos de Corrupción'!#REF!),"")</f>
        <v>#REF!</v>
      </c>
      <c r="S34" s="183" t="e">
        <f>IF(AND('Mapa de Riesgos de Corrupción'!#REF!="Media",'Mapa de Riesgos de Corrupción'!#REF!="Menor"),CONCATENATE("R9C",'Mapa de Riesgos de Corrupción'!#REF!),"")</f>
        <v>#REF!</v>
      </c>
      <c r="T34" s="183" t="e">
        <f>IF(AND('Mapa de Riesgos de Corrupción'!#REF!="Media",'Mapa de Riesgos de Corrupción'!#REF!="Menor"),CONCATENATE("R9C",'Mapa de Riesgos de Corrupción'!#REF!),"")</f>
        <v>#REF!</v>
      </c>
      <c r="U34" s="184" t="e">
        <f>IF(AND('Mapa de Riesgos de Corrupción'!#REF!="Media",'Mapa de Riesgos de Corrupción'!#REF!="Menor"),CONCATENATE("R9C",'Mapa de Riesgos de Corrupción'!#REF!),"")</f>
        <v>#REF!</v>
      </c>
      <c r="V34" s="182" t="e">
        <f>IF(AND('Mapa de Riesgos de Corrupción'!#REF!="Media",'Mapa de Riesgos de Corrupción'!#REF!="Moderado"),CONCATENATE("R9C",'Mapa de Riesgos de Corrupción'!#REF!),"")</f>
        <v>#REF!</v>
      </c>
      <c r="W34" s="183" t="e">
        <f>IF(AND('Mapa de Riesgos de Corrupción'!#REF!="Media",'Mapa de Riesgos de Corrupción'!#REF!="Moderado"),CONCATENATE("R9C",'Mapa de Riesgos de Corrupción'!#REF!),"")</f>
        <v>#REF!</v>
      </c>
      <c r="X34" s="183" t="e">
        <f>IF(AND('Mapa de Riesgos de Corrupción'!#REF!="Media",'Mapa de Riesgos de Corrupción'!#REF!="Moderado"),CONCATENATE("R9C",'Mapa de Riesgos de Corrupción'!#REF!),"")</f>
        <v>#REF!</v>
      </c>
      <c r="Y34" s="183" t="e">
        <f>IF(AND('Mapa de Riesgos de Corrupción'!#REF!="Media",'Mapa de Riesgos de Corrupción'!#REF!="Moderado"),CONCATENATE("R9C",'Mapa de Riesgos de Corrupción'!#REF!),"")</f>
        <v>#REF!</v>
      </c>
      <c r="Z34" s="183" t="e">
        <f>IF(AND('Mapa de Riesgos de Corrupción'!#REF!="Media",'Mapa de Riesgos de Corrupción'!#REF!="Moderado"),CONCATENATE("R9C",'Mapa de Riesgos de Corrupción'!#REF!),"")</f>
        <v>#REF!</v>
      </c>
      <c r="AA34" s="184" t="e">
        <f>IF(AND('Mapa de Riesgos de Corrupción'!#REF!="Media",'Mapa de Riesgos de Corrupción'!#REF!="Moderado"),CONCATENATE("R9C",'Mapa de Riesgos de Corrupción'!#REF!),"")</f>
        <v>#REF!</v>
      </c>
      <c r="AB34" s="167" t="e">
        <f>IF(AND('Mapa de Riesgos de Corrupción'!#REF!="Media",'Mapa de Riesgos de Corrupción'!#REF!="Mayor"),CONCATENATE("R9C",'Mapa de Riesgos de Corrupción'!#REF!),"")</f>
        <v>#REF!</v>
      </c>
      <c r="AC34" s="168" t="e">
        <f>IF(AND('Mapa de Riesgos de Corrupción'!#REF!="Media",'Mapa de Riesgos de Corrupción'!#REF!="Mayor"),CONCATENATE("R9C",'Mapa de Riesgos de Corrupción'!#REF!),"")</f>
        <v>#REF!</v>
      </c>
      <c r="AD34" s="168" t="e">
        <f>IF(AND('Mapa de Riesgos de Corrupción'!#REF!="Media",'Mapa de Riesgos de Corrupción'!#REF!="Mayor"),CONCATENATE("R9C",'Mapa de Riesgos de Corrupción'!#REF!),"")</f>
        <v>#REF!</v>
      </c>
      <c r="AE34" s="168" t="e">
        <f>IF(AND('Mapa de Riesgos de Corrupción'!#REF!="Media",'Mapa de Riesgos de Corrupción'!#REF!="Mayor"),CONCATENATE("R9C",'Mapa de Riesgos de Corrupción'!#REF!),"")</f>
        <v>#REF!</v>
      </c>
      <c r="AF34" s="168" t="e">
        <f>IF(AND('Mapa de Riesgos de Corrupción'!#REF!="Media",'Mapa de Riesgos de Corrupción'!#REF!="Mayor"),CONCATENATE("R9C",'Mapa de Riesgos de Corrupción'!#REF!),"")</f>
        <v>#REF!</v>
      </c>
      <c r="AG34" s="169" t="e">
        <f>IF(AND('Mapa de Riesgos de Corrupción'!#REF!="Media",'Mapa de Riesgos de Corrupción'!#REF!="Mayor"),CONCATENATE("R9C",'Mapa de Riesgos de Corrupción'!#REF!),"")</f>
        <v>#REF!</v>
      </c>
      <c r="AH34" s="170" t="e">
        <f>IF(AND('Mapa de Riesgos de Corrupción'!#REF!="Media",'Mapa de Riesgos de Corrupción'!#REF!="Catastrófico"),CONCATENATE("R9C",'Mapa de Riesgos de Corrupción'!#REF!),"")</f>
        <v>#REF!</v>
      </c>
      <c r="AI34" s="171" t="e">
        <f>IF(AND('Mapa de Riesgos de Corrupción'!#REF!="Media",'Mapa de Riesgos de Corrupción'!#REF!="Catastrófico"),CONCATENATE("R9C",'Mapa de Riesgos de Corrupción'!#REF!),"")</f>
        <v>#REF!</v>
      </c>
      <c r="AJ34" s="171" t="e">
        <f>IF(AND('Mapa de Riesgos de Corrupción'!#REF!="Media",'Mapa de Riesgos de Corrupción'!#REF!="Catastrófico"),CONCATENATE("R9C",'Mapa de Riesgos de Corrupción'!#REF!),"")</f>
        <v>#REF!</v>
      </c>
      <c r="AK34" s="171" t="e">
        <f>IF(AND('Mapa de Riesgos de Corrupción'!#REF!="Media",'Mapa de Riesgos de Corrupción'!#REF!="Catastrófico"),CONCATENATE("R9C",'Mapa de Riesgos de Corrupción'!#REF!),"")</f>
        <v>#REF!</v>
      </c>
      <c r="AL34" s="171" t="e">
        <f>IF(AND('Mapa de Riesgos de Corrupción'!#REF!="Media",'Mapa de Riesgos de Corrupción'!#REF!="Catastrófico"),CONCATENATE("R9C",'Mapa de Riesgos de Corrupción'!#REF!),"")</f>
        <v>#REF!</v>
      </c>
      <c r="AM34" s="172" t="e">
        <f>IF(AND('Mapa de Riesgos de Corrupción'!#REF!="Media",'Mapa de Riesgos de Corrupción'!#REF!="Catastrófico"),CONCATENATE("R9C",'Mapa de Riesgos de Corrupción'!#REF!),"")</f>
        <v>#REF!</v>
      </c>
      <c r="AN34" s="122"/>
      <c r="AO34" s="312"/>
      <c r="AP34" s="224"/>
      <c r="AQ34" s="224"/>
      <c r="AR34" s="224"/>
      <c r="AS34" s="224"/>
      <c r="AT34" s="313"/>
      <c r="AU34" s="122"/>
      <c r="AV34" s="122"/>
      <c r="AW34" s="122"/>
      <c r="AX34" s="122"/>
      <c r="AY34" s="122"/>
      <c r="AZ34" s="122"/>
      <c r="BA34" s="122"/>
      <c r="BB34" s="122"/>
      <c r="BC34" s="122"/>
      <c r="BD34" s="122"/>
      <c r="BE34" s="122"/>
      <c r="BF34" s="122"/>
      <c r="BG34" s="122"/>
      <c r="BH34" s="122"/>
      <c r="BI34" s="122"/>
    </row>
    <row r="35" spans="1:61" ht="15.75" customHeight="1">
      <c r="A35" s="122"/>
      <c r="B35" s="293"/>
      <c r="C35" s="224"/>
      <c r="D35" s="265"/>
      <c r="E35" s="225"/>
      <c r="F35" s="226"/>
      <c r="G35" s="226"/>
      <c r="H35" s="226"/>
      <c r="I35" s="301"/>
      <c r="J35" s="182" t="e">
        <f>IF(AND('Mapa de Riesgos de Corrupción'!#REF!="Media",'Mapa de Riesgos de Corrupción'!#REF!="Leve"),CONCATENATE("R10C",'Mapa de Riesgos de Corrupción'!#REF!),"")</f>
        <v>#REF!</v>
      </c>
      <c r="K35" s="183" t="e">
        <f>IF(AND('Mapa de Riesgos de Corrupción'!#REF!="Media",'Mapa de Riesgos de Corrupción'!#REF!="Leve"),CONCATENATE("R10C",'Mapa de Riesgos de Corrupción'!#REF!),"")</f>
        <v>#REF!</v>
      </c>
      <c r="L35" s="183" t="e">
        <f>IF(AND('Mapa de Riesgos de Corrupción'!#REF!="Media",'Mapa de Riesgos de Corrupción'!#REF!="Leve"),CONCATENATE("R10C",'Mapa de Riesgos de Corrupción'!#REF!),"")</f>
        <v>#REF!</v>
      </c>
      <c r="M35" s="183" t="e">
        <f>IF(AND('Mapa de Riesgos de Corrupción'!#REF!="Media",'Mapa de Riesgos de Corrupción'!#REF!="Leve"),CONCATENATE("R10C",'Mapa de Riesgos de Corrupción'!#REF!),"")</f>
        <v>#REF!</v>
      </c>
      <c r="N35" s="183" t="e">
        <f>IF(AND('Mapa de Riesgos de Corrupción'!#REF!="Media",'Mapa de Riesgos de Corrupción'!#REF!="Leve"),CONCATENATE("R10C",'Mapa de Riesgos de Corrupción'!#REF!),"")</f>
        <v>#REF!</v>
      </c>
      <c r="O35" s="184" t="e">
        <f>IF(AND('Mapa de Riesgos de Corrupción'!#REF!="Media",'Mapa de Riesgos de Corrupción'!#REF!="Leve"),CONCATENATE("R10C",'Mapa de Riesgos de Corrupción'!#REF!),"")</f>
        <v>#REF!</v>
      </c>
      <c r="P35" s="182" t="e">
        <f>IF(AND('Mapa de Riesgos de Corrupción'!#REF!="Media",'Mapa de Riesgos de Corrupción'!#REF!="Menor"),CONCATENATE("R10C",'Mapa de Riesgos de Corrupción'!#REF!),"")</f>
        <v>#REF!</v>
      </c>
      <c r="Q35" s="183" t="e">
        <f>IF(AND('Mapa de Riesgos de Corrupción'!#REF!="Media",'Mapa de Riesgos de Corrupción'!#REF!="Menor"),CONCATENATE("R10C",'Mapa de Riesgos de Corrupción'!#REF!),"")</f>
        <v>#REF!</v>
      </c>
      <c r="R35" s="183" t="e">
        <f>IF(AND('Mapa de Riesgos de Corrupción'!#REF!="Media",'Mapa de Riesgos de Corrupción'!#REF!="Menor"),CONCATENATE("R10C",'Mapa de Riesgos de Corrupción'!#REF!),"")</f>
        <v>#REF!</v>
      </c>
      <c r="S35" s="183" t="e">
        <f>IF(AND('Mapa de Riesgos de Corrupción'!#REF!="Media",'Mapa de Riesgos de Corrupción'!#REF!="Menor"),CONCATENATE("R10C",'Mapa de Riesgos de Corrupción'!#REF!),"")</f>
        <v>#REF!</v>
      </c>
      <c r="T35" s="183" t="e">
        <f>IF(AND('Mapa de Riesgos de Corrupción'!#REF!="Media",'Mapa de Riesgos de Corrupción'!#REF!="Menor"),CONCATENATE("R10C",'Mapa de Riesgos de Corrupción'!#REF!),"")</f>
        <v>#REF!</v>
      </c>
      <c r="U35" s="184" t="e">
        <f>IF(AND('Mapa de Riesgos de Corrupción'!#REF!="Media",'Mapa de Riesgos de Corrupción'!#REF!="Menor"),CONCATENATE("R10C",'Mapa de Riesgos de Corrupción'!#REF!),"")</f>
        <v>#REF!</v>
      </c>
      <c r="V35" s="182" t="e">
        <f>IF(AND('Mapa de Riesgos de Corrupción'!#REF!="Media",'Mapa de Riesgos de Corrupción'!#REF!="Moderado"),CONCATENATE("R10C",'Mapa de Riesgos de Corrupción'!#REF!),"")</f>
        <v>#REF!</v>
      </c>
      <c r="W35" s="183" t="e">
        <f>IF(AND('Mapa de Riesgos de Corrupción'!#REF!="Media",'Mapa de Riesgos de Corrupción'!#REF!="Moderado"),CONCATENATE("R10C",'Mapa de Riesgos de Corrupción'!#REF!),"")</f>
        <v>#REF!</v>
      </c>
      <c r="X35" s="183" t="e">
        <f>IF(AND('Mapa de Riesgos de Corrupción'!#REF!="Media",'Mapa de Riesgos de Corrupción'!#REF!="Moderado"),CONCATENATE("R10C",'Mapa de Riesgos de Corrupción'!#REF!),"")</f>
        <v>#REF!</v>
      </c>
      <c r="Y35" s="183" t="e">
        <f>IF(AND('Mapa de Riesgos de Corrupción'!#REF!="Media",'Mapa de Riesgos de Corrupción'!#REF!="Moderado"),CONCATENATE("R10C",'Mapa de Riesgos de Corrupción'!#REF!),"")</f>
        <v>#REF!</v>
      </c>
      <c r="Z35" s="183" t="e">
        <f>IF(AND('Mapa de Riesgos de Corrupción'!#REF!="Media",'Mapa de Riesgos de Corrupción'!#REF!="Moderado"),CONCATENATE("R10C",'Mapa de Riesgos de Corrupción'!#REF!),"")</f>
        <v>#REF!</v>
      </c>
      <c r="AA35" s="184" t="e">
        <f>IF(AND('Mapa de Riesgos de Corrupción'!#REF!="Media",'Mapa de Riesgos de Corrupción'!#REF!="Moderado"),CONCATENATE("R10C",'Mapa de Riesgos de Corrupción'!#REF!),"")</f>
        <v>#REF!</v>
      </c>
      <c r="AB35" s="173" t="e">
        <f>IF(AND('Mapa de Riesgos de Corrupción'!#REF!="Media",'Mapa de Riesgos de Corrupción'!#REF!="Mayor"),CONCATENATE("R10C",'Mapa de Riesgos de Corrupción'!#REF!),"")</f>
        <v>#REF!</v>
      </c>
      <c r="AC35" s="174" t="e">
        <f>IF(AND('Mapa de Riesgos de Corrupción'!#REF!="Media",'Mapa de Riesgos de Corrupción'!#REF!="Mayor"),CONCATENATE("R10C",'Mapa de Riesgos de Corrupción'!#REF!),"")</f>
        <v>#REF!</v>
      </c>
      <c r="AD35" s="174" t="e">
        <f>IF(AND('Mapa de Riesgos de Corrupción'!#REF!="Media",'Mapa de Riesgos de Corrupción'!#REF!="Mayor"),CONCATENATE("R10C",'Mapa de Riesgos de Corrupción'!#REF!),"")</f>
        <v>#REF!</v>
      </c>
      <c r="AE35" s="174" t="e">
        <f>IF(AND('Mapa de Riesgos de Corrupción'!#REF!="Media",'Mapa de Riesgos de Corrupción'!#REF!="Mayor"),CONCATENATE("R10C",'Mapa de Riesgos de Corrupción'!#REF!),"")</f>
        <v>#REF!</v>
      </c>
      <c r="AF35" s="174" t="e">
        <f>IF(AND('Mapa de Riesgos de Corrupción'!#REF!="Media",'Mapa de Riesgos de Corrupción'!#REF!="Mayor"),CONCATENATE("R10C",'Mapa de Riesgos de Corrupción'!#REF!),"")</f>
        <v>#REF!</v>
      </c>
      <c r="AG35" s="175" t="e">
        <f>IF(AND('Mapa de Riesgos de Corrupción'!#REF!="Media",'Mapa de Riesgos de Corrupción'!#REF!="Mayor"),CONCATENATE("R10C",'Mapa de Riesgos de Corrupción'!#REF!),"")</f>
        <v>#REF!</v>
      </c>
      <c r="AH35" s="176" t="e">
        <f>IF(AND('Mapa de Riesgos de Corrupción'!#REF!="Media",'Mapa de Riesgos de Corrupción'!#REF!="Catastrófico"),CONCATENATE("R10C",'Mapa de Riesgos de Corrupción'!#REF!),"")</f>
        <v>#REF!</v>
      </c>
      <c r="AI35" s="177" t="e">
        <f>IF(AND('Mapa de Riesgos de Corrupción'!#REF!="Media",'Mapa de Riesgos de Corrupción'!#REF!="Catastrófico"),CONCATENATE("R10C",'Mapa de Riesgos de Corrupción'!#REF!),"")</f>
        <v>#REF!</v>
      </c>
      <c r="AJ35" s="177" t="e">
        <f>IF(AND('Mapa de Riesgos de Corrupción'!#REF!="Media",'Mapa de Riesgos de Corrupción'!#REF!="Catastrófico"),CONCATENATE("R10C",'Mapa de Riesgos de Corrupción'!#REF!),"")</f>
        <v>#REF!</v>
      </c>
      <c r="AK35" s="177" t="e">
        <f>IF(AND('Mapa de Riesgos de Corrupción'!#REF!="Media",'Mapa de Riesgos de Corrupción'!#REF!="Catastrófico"),CONCATENATE("R10C",'Mapa de Riesgos de Corrupción'!#REF!),"")</f>
        <v>#REF!</v>
      </c>
      <c r="AL35" s="177" t="e">
        <f>IF(AND('Mapa de Riesgos de Corrupción'!#REF!="Media",'Mapa de Riesgos de Corrupción'!#REF!="Catastrófico"),CONCATENATE("R10C",'Mapa de Riesgos de Corrupción'!#REF!),"")</f>
        <v>#REF!</v>
      </c>
      <c r="AM35" s="178" t="e">
        <f>IF(AND('Mapa de Riesgos de Corrupción'!#REF!="Media",'Mapa de Riesgos de Corrupción'!#REF!="Catastrófico"),CONCATENATE("R10C",'Mapa de Riesgos de Corrupción'!#REF!),"")</f>
        <v>#REF!</v>
      </c>
      <c r="AN35" s="122"/>
      <c r="AO35" s="314"/>
      <c r="AP35" s="315"/>
      <c r="AQ35" s="315"/>
      <c r="AR35" s="315"/>
      <c r="AS35" s="315"/>
      <c r="AT35" s="316"/>
      <c r="AU35" s="122"/>
      <c r="AV35" s="122"/>
      <c r="AW35" s="122"/>
      <c r="AX35" s="122"/>
      <c r="AY35" s="122"/>
      <c r="AZ35" s="122"/>
      <c r="BA35" s="122"/>
      <c r="BB35" s="122"/>
      <c r="BC35" s="122"/>
      <c r="BD35" s="122"/>
      <c r="BE35" s="122"/>
      <c r="BF35" s="122"/>
      <c r="BG35" s="122"/>
      <c r="BH35" s="122"/>
      <c r="BI35" s="122"/>
    </row>
    <row r="36" spans="1:61" ht="15" customHeight="1">
      <c r="A36" s="122"/>
      <c r="B36" s="293"/>
      <c r="C36" s="224"/>
      <c r="D36" s="265"/>
      <c r="E36" s="335" t="s">
        <v>506</v>
      </c>
      <c r="F36" s="222"/>
      <c r="G36" s="222"/>
      <c r="H36" s="222"/>
      <c r="I36" s="222"/>
      <c r="J36" s="188" t="e">
        <f>IF(AND('Mapa de Riesgos de Corrupción'!#REF!="Baja",'Mapa de Riesgos de Corrupción'!#REF!="Leve"),CONCATENATE("R1C",'Mapa de Riesgos de Corrupción'!#REF!),"")</f>
        <v>#REF!</v>
      </c>
      <c r="K36" s="189" t="e">
        <f>IF(AND('Mapa de Riesgos de Corrupción'!#REF!="Baja",'Mapa de Riesgos de Corrupción'!#REF!="Leve"),CONCATENATE("R1C",'Mapa de Riesgos de Corrupción'!#REF!),"")</f>
        <v>#REF!</v>
      </c>
      <c r="L36" s="189" t="e">
        <f>IF(AND('Mapa de Riesgos de Corrupción'!#REF!="Baja",'Mapa de Riesgos de Corrupción'!#REF!="Leve"),CONCATENATE("R1C",'Mapa de Riesgos de Corrupción'!#REF!),"")</f>
        <v>#REF!</v>
      </c>
      <c r="M36" s="189" t="e">
        <f>IF(AND('Mapa de Riesgos de Corrupción'!#REF!="Baja",'Mapa de Riesgos de Corrupción'!#REF!="Leve"),CONCATENATE("R1C",'Mapa de Riesgos de Corrupción'!#REF!),"")</f>
        <v>#REF!</v>
      </c>
      <c r="N36" s="189" t="str">
        <f ca="1">IF(AND('Mapa de Riesgos de Corrupción'!$AC$8="Baja",'Mapa de Riesgos de Corrupción'!$AE$8="Leve"),CONCATENATE("R1C",'Mapa de Riesgos de Corrupción'!$R$8),"")</f>
        <v/>
      </c>
      <c r="O36" s="190" t="str">
        <f ca="1">IF(AND('Mapa de Riesgos de Corrupción'!$AC$9="Baja",'Mapa de Riesgos de Corrupción'!$AE$9="Leve"),CONCATENATE("R1C",'Mapa de Riesgos de Corrupción'!$R$9),"")</f>
        <v/>
      </c>
      <c r="P36" s="179" t="e">
        <f>IF(AND('Mapa de Riesgos de Corrupción'!#REF!="Baja",'Mapa de Riesgos de Corrupción'!#REF!="Menor"),CONCATENATE("R1C",'Mapa de Riesgos de Corrupción'!#REF!),"")</f>
        <v>#REF!</v>
      </c>
      <c r="Q36" s="180" t="e">
        <f>IF(AND('Mapa de Riesgos de Corrupción'!#REF!="Baja",'Mapa de Riesgos de Corrupción'!#REF!="Menor"),CONCATENATE("R1C",'Mapa de Riesgos de Corrupción'!#REF!),"")</f>
        <v>#REF!</v>
      </c>
      <c r="R36" s="180" t="e">
        <f>IF(AND('Mapa de Riesgos de Corrupción'!#REF!="Baja",'Mapa de Riesgos de Corrupción'!#REF!="Menor"),CONCATENATE("R1C",'Mapa de Riesgos de Corrupción'!#REF!),"")</f>
        <v>#REF!</v>
      </c>
      <c r="S36" s="180" t="e">
        <f>IF(AND('Mapa de Riesgos de Corrupción'!#REF!="Baja",'Mapa de Riesgos de Corrupción'!#REF!="Menor"),CONCATENATE("R1C",'Mapa de Riesgos de Corrupción'!#REF!),"")</f>
        <v>#REF!</v>
      </c>
      <c r="T36" s="180" t="str">
        <f ca="1">IF(AND('Mapa de Riesgos de Corrupción'!$AC$8="Baja",'Mapa de Riesgos de Corrupción'!$AE$8="Menor"),CONCATENATE("R1C",'Mapa de Riesgos de Corrupción'!$R$8),"")</f>
        <v/>
      </c>
      <c r="U36" s="181" t="str">
        <f ca="1">IF(AND('Mapa de Riesgos de Corrupción'!$AC$9="Baja",'Mapa de Riesgos de Corrupción'!$AE$9="Menor"),CONCATENATE("R1C",'Mapa de Riesgos de Corrupción'!$R$9),"")</f>
        <v/>
      </c>
      <c r="V36" s="179" t="e">
        <f>IF(AND('Mapa de Riesgos de Corrupción'!#REF!="Baja",'Mapa de Riesgos de Corrupción'!#REF!="Moderado"),CONCATENATE("R1C",'Mapa de Riesgos de Corrupción'!#REF!),"")</f>
        <v>#REF!</v>
      </c>
      <c r="W36" s="180" t="e">
        <f>IF(AND('Mapa de Riesgos de Corrupción'!#REF!="Baja",'Mapa de Riesgos de Corrupción'!#REF!="Moderado"),CONCATENATE("R1C",'Mapa de Riesgos de Corrupción'!#REF!),"")</f>
        <v>#REF!</v>
      </c>
      <c r="X36" s="180" t="e">
        <f>IF(AND('Mapa de Riesgos de Corrupción'!#REF!="Baja",'Mapa de Riesgos de Corrupción'!#REF!="Moderado"),CONCATENATE("R1C",'Mapa de Riesgos de Corrupción'!#REF!),"")</f>
        <v>#REF!</v>
      </c>
      <c r="Y36" s="180" t="e">
        <f>IF(AND('Mapa de Riesgos de Corrupción'!#REF!="Baja",'Mapa de Riesgos de Corrupción'!#REF!="Moderado"),CONCATENATE("R1C",'Mapa de Riesgos de Corrupción'!#REF!),"")</f>
        <v>#REF!</v>
      </c>
      <c r="Z36" s="180" t="str">
        <f ca="1">IF(AND('Mapa de Riesgos de Corrupción'!$AC$8="Baja",'Mapa de Riesgos de Corrupción'!$AE$8="Moderado"),CONCATENATE("R1C",'Mapa de Riesgos de Corrupción'!$R$8),"")</f>
        <v>R1C1</v>
      </c>
      <c r="AA36" s="181" t="str">
        <f ca="1">IF(AND('Mapa de Riesgos de Corrupción'!$AC$9="Baja",'Mapa de Riesgos de Corrupción'!$AE$9="Moderado"),CONCATENATE("R1C",'Mapa de Riesgos de Corrupción'!$R$9),"")</f>
        <v/>
      </c>
      <c r="AB36" s="161" t="e">
        <f>IF(AND('Mapa de Riesgos de Corrupción'!#REF!="Baja",'Mapa de Riesgos de Corrupción'!#REF!="Mayor"),CONCATENATE("R1C",'Mapa de Riesgos de Corrupción'!#REF!),"")</f>
        <v>#REF!</v>
      </c>
      <c r="AC36" s="162" t="e">
        <f>IF(AND('Mapa de Riesgos de Corrupción'!#REF!="Baja",'Mapa de Riesgos de Corrupción'!#REF!="Mayor"),CONCATENATE("R1C",'Mapa de Riesgos de Corrupción'!#REF!),"")</f>
        <v>#REF!</v>
      </c>
      <c r="AD36" s="162" t="e">
        <f>IF(AND('Mapa de Riesgos de Corrupción'!#REF!="Baja",'Mapa de Riesgos de Corrupción'!#REF!="Mayor"),CONCATENATE("R1C",'Mapa de Riesgos de Corrupción'!#REF!),"")</f>
        <v>#REF!</v>
      </c>
      <c r="AE36" s="162" t="e">
        <f>IF(AND('Mapa de Riesgos de Corrupción'!#REF!="Baja",'Mapa de Riesgos de Corrupción'!#REF!="Mayor"),CONCATENATE("R1C",'Mapa de Riesgos de Corrupción'!#REF!),"")</f>
        <v>#REF!</v>
      </c>
      <c r="AF36" s="162" t="str">
        <f ca="1">IF(AND('Mapa de Riesgos de Corrupción'!$AC$8="Baja",'Mapa de Riesgos de Corrupción'!$AE$8="Mayor"),CONCATENATE("R1C",'Mapa de Riesgos de Corrupción'!$R$8),"")</f>
        <v/>
      </c>
      <c r="AG36" s="163" t="str">
        <f ca="1">IF(AND('Mapa de Riesgos de Corrupción'!$AC$9="Baja",'Mapa de Riesgos de Corrupción'!$AE$9="Mayor"),CONCATENATE("R1C",'Mapa de Riesgos de Corrupción'!$R$9),"")</f>
        <v>R1C2</v>
      </c>
      <c r="AH36" s="164" t="e">
        <f>IF(AND('Mapa de Riesgos de Corrupción'!#REF!="Baja",'Mapa de Riesgos de Corrupción'!#REF!="Catastrófico"),CONCATENATE("R1C",'Mapa de Riesgos de Corrupción'!#REF!),"")</f>
        <v>#REF!</v>
      </c>
      <c r="AI36" s="165" t="e">
        <f>IF(AND('Mapa de Riesgos de Corrupción'!#REF!="Baja",'Mapa de Riesgos de Corrupción'!#REF!="Catastrófico"),CONCATENATE("R1C",'Mapa de Riesgos de Corrupción'!#REF!),"")</f>
        <v>#REF!</v>
      </c>
      <c r="AJ36" s="165" t="e">
        <f>IF(AND('Mapa de Riesgos de Corrupción'!#REF!="Baja",'Mapa de Riesgos de Corrupción'!#REF!="Catastrófico"),CONCATENATE("R1C",'Mapa de Riesgos de Corrupción'!#REF!),"")</f>
        <v>#REF!</v>
      </c>
      <c r="AK36" s="165" t="e">
        <f>IF(AND('Mapa de Riesgos de Corrupción'!#REF!="Baja",'Mapa de Riesgos de Corrupción'!#REF!="Catastrófico"),CONCATENATE("R1C",'Mapa de Riesgos de Corrupción'!#REF!),"")</f>
        <v>#REF!</v>
      </c>
      <c r="AL36" s="165" t="str">
        <f ca="1">IF(AND('Mapa de Riesgos de Corrupción'!$AC$8="Baja",'Mapa de Riesgos de Corrupción'!$AE$8="Catastrófico"),CONCATENATE("R1C",'Mapa de Riesgos de Corrupción'!$R$8),"")</f>
        <v/>
      </c>
      <c r="AM36" s="166" t="str">
        <f ca="1">IF(AND('Mapa de Riesgos de Corrupción'!$AC$9="Baja",'Mapa de Riesgos de Corrupción'!$AE$9="Catastrófico"),CONCATENATE("R1C",'Mapa de Riesgos de Corrupción'!$R$9),"")</f>
        <v/>
      </c>
      <c r="AN36" s="122"/>
      <c r="AO36" s="334" t="s">
        <v>507</v>
      </c>
      <c r="AP36" s="310"/>
      <c r="AQ36" s="310"/>
      <c r="AR36" s="310"/>
      <c r="AS36" s="310"/>
      <c r="AT36" s="311"/>
      <c r="AU36" s="122"/>
      <c r="AV36" s="122"/>
      <c r="AW36" s="122"/>
      <c r="AX36" s="122"/>
      <c r="AY36" s="122"/>
      <c r="AZ36" s="122"/>
      <c r="BA36" s="122"/>
      <c r="BB36" s="122"/>
      <c r="BC36" s="122"/>
      <c r="BD36" s="122"/>
      <c r="BE36" s="122"/>
      <c r="BF36" s="122"/>
      <c r="BG36" s="122"/>
      <c r="BH36" s="122"/>
      <c r="BI36" s="122"/>
    </row>
    <row r="37" spans="1:61" ht="15" customHeight="1">
      <c r="A37" s="122"/>
      <c r="B37" s="293"/>
      <c r="C37" s="224"/>
      <c r="D37" s="265"/>
      <c r="E37" s="223"/>
      <c r="F37" s="224"/>
      <c r="G37" s="224"/>
      <c r="H37" s="224"/>
      <c r="I37" s="224"/>
      <c r="J37" s="191" t="e">
        <f>IF(AND('Mapa de Riesgos de Corrupción'!#REF!="Baja",'Mapa de Riesgos de Corrupción'!#REF!="Leve"),CONCATENATE("R2C",'Mapa de Riesgos de Corrupción'!#REF!),"")</f>
        <v>#REF!</v>
      </c>
      <c r="K37" s="192" t="e">
        <f>IF(AND('Mapa de Riesgos de Corrupción'!#REF!="Baja",'Mapa de Riesgos de Corrupción'!#REF!="Leve"),CONCATENATE("R2C",'Mapa de Riesgos de Corrupción'!#REF!),"")</f>
        <v>#REF!</v>
      </c>
      <c r="L37" s="192" t="e">
        <f>IF(AND('Mapa de Riesgos de Corrupción'!#REF!="Baja",'Mapa de Riesgos de Corrupción'!#REF!="Leve"),CONCATENATE("R2C",'Mapa de Riesgos de Corrupción'!#REF!),"")</f>
        <v>#REF!</v>
      </c>
      <c r="M37" s="192" t="e">
        <f>IF(AND('Mapa de Riesgos de Corrupción'!#REF!="Baja",'Mapa de Riesgos de Corrupción'!#REF!="Leve"),CONCATENATE("R2C",'Mapa de Riesgos de Corrupción'!#REF!),"")</f>
        <v>#REF!</v>
      </c>
      <c r="N37" s="192" t="e">
        <f>IF(AND('Mapa de Riesgos de Corrupción'!#REF!="Baja",'Mapa de Riesgos de Corrupción'!#REF!="Leve"),CONCATENATE("R2C",'Mapa de Riesgos de Corrupción'!#REF!),"")</f>
        <v>#REF!</v>
      </c>
      <c r="O37" s="193" t="str">
        <f ca="1">IF(AND('Mapa de Riesgos de Corrupción'!$AC$10="Baja",'Mapa de Riesgos de Corrupción'!$AE$10="Leve"),CONCATENATE("R2C",'Mapa de Riesgos de Corrupción'!$R$10),"")</f>
        <v/>
      </c>
      <c r="P37" s="182" t="e">
        <f>IF(AND('Mapa de Riesgos de Corrupción'!#REF!="Baja",'Mapa de Riesgos de Corrupción'!#REF!="Menor"),CONCATENATE("R2C",'Mapa de Riesgos de Corrupción'!#REF!),"")</f>
        <v>#REF!</v>
      </c>
      <c r="Q37" s="183" t="e">
        <f>IF(AND('Mapa de Riesgos de Corrupción'!#REF!="Baja",'Mapa de Riesgos de Corrupción'!#REF!="Menor"),CONCATENATE("R2C",'Mapa de Riesgos de Corrupción'!#REF!),"")</f>
        <v>#REF!</v>
      </c>
      <c r="R37" s="183" t="e">
        <f>IF(AND('Mapa de Riesgos de Corrupción'!#REF!="Baja",'Mapa de Riesgos de Corrupción'!#REF!="Menor"),CONCATENATE("R2C",'Mapa de Riesgos de Corrupción'!#REF!),"")</f>
        <v>#REF!</v>
      </c>
      <c r="S37" s="183" t="e">
        <f>IF(AND('Mapa de Riesgos de Corrupción'!#REF!="Baja",'Mapa de Riesgos de Corrupción'!#REF!="Menor"),CONCATENATE("R2C",'Mapa de Riesgos de Corrupción'!#REF!),"")</f>
        <v>#REF!</v>
      </c>
      <c r="T37" s="183" t="e">
        <f>IF(AND('Mapa de Riesgos de Corrupción'!#REF!="Baja",'Mapa de Riesgos de Corrupción'!#REF!="Menor"),CONCATENATE("R2C",'Mapa de Riesgos de Corrupción'!#REF!),"")</f>
        <v>#REF!</v>
      </c>
      <c r="U37" s="184" t="str">
        <f ca="1">IF(AND('Mapa de Riesgos de Corrupción'!$AC$10="Baja",'Mapa de Riesgos de Corrupción'!$AE$10="Menor"),CONCATENATE("R2C",'Mapa de Riesgos de Corrupción'!$R$10),"")</f>
        <v/>
      </c>
      <c r="V37" s="182" t="e">
        <f>IF(AND('Mapa de Riesgos de Corrupción'!#REF!="Baja",'Mapa de Riesgos de Corrupción'!#REF!="Moderado"),CONCATENATE("R2C",'Mapa de Riesgos de Corrupción'!#REF!),"")</f>
        <v>#REF!</v>
      </c>
      <c r="W37" s="183" t="e">
        <f>IF(AND('Mapa de Riesgos de Corrupción'!#REF!="Baja",'Mapa de Riesgos de Corrupción'!#REF!="Moderado"),CONCATENATE("R2C",'Mapa de Riesgos de Corrupción'!#REF!),"")</f>
        <v>#REF!</v>
      </c>
      <c r="X37" s="183" t="e">
        <f>IF(AND('Mapa de Riesgos de Corrupción'!#REF!="Baja",'Mapa de Riesgos de Corrupción'!#REF!="Moderado"),CONCATENATE("R2C",'Mapa de Riesgos de Corrupción'!#REF!),"")</f>
        <v>#REF!</v>
      </c>
      <c r="Y37" s="183" t="e">
        <f>IF(AND('Mapa de Riesgos de Corrupción'!#REF!="Baja",'Mapa de Riesgos de Corrupción'!#REF!="Moderado"),CONCATENATE("R2C",'Mapa de Riesgos de Corrupción'!#REF!),"")</f>
        <v>#REF!</v>
      </c>
      <c r="Z37" s="183" t="e">
        <f>IF(AND('Mapa de Riesgos de Corrupción'!#REF!="Baja",'Mapa de Riesgos de Corrupción'!#REF!="Moderado"),CONCATENATE("R2C",'Mapa de Riesgos de Corrupción'!#REF!),"")</f>
        <v>#REF!</v>
      </c>
      <c r="AA37" s="184" t="str">
        <f ca="1">IF(AND('Mapa de Riesgos de Corrupción'!$AC$10="Baja",'Mapa de Riesgos de Corrupción'!$AE$10="Moderado"),CONCATENATE("R2C",'Mapa de Riesgos de Corrupción'!$R$10),"")</f>
        <v/>
      </c>
      <c r="AB37" s="167" t="e">
        <f>IF(AND('Mapa de Riesgos de Corrupción'!#REF!="Baja",'Mapa de Riesgos de Corrupción'!#REF!="Mayor"),CONCATENATE("R2C",'Mapa de Riesgos de Corrupción'!#REF!),"")</f>
        <v>#REF!</v>
      </c>
      <c r="AC37" s="168" t="e">
        <f>IF(AND('Mapa de Riesgos de Corrupción'!#REF!="Baja",'Mapa de Riesgos de Corrupción'!#REF!="Mayor"),CONCATENATE("R2C",'Mapa de Riesgos de Corrupción'!#REF!),"")</f>
        <v>#REF!</v>
      </c>
      <c r="AD37" s="168" t="e">
        <f>IF(AND('Mapa de Riesgos de Corrupción'!#REF!="Baja",'Mapa de Riesgos de Corrupción'!#REF!="Mayor"),CONCATENATE("R2C",'Mapa de Riesgos de Corrupción'!#REF!),"")</f>
        <v>#REF!</v>
      </c>
      <c r="AE37" s="168" t="e">
        <f>IF(AND('Mapa de Riesgos de Corrupción'!#REF!="Baja",'Mapa de Riesgos de Corrupción'!#REF!="Mayor"),CONCATENATE("R2C",'Mapa de Riesgos de Corrupción'!#REF!),"")</f>
        <v>#REF!</v>
      </c>
      <c r="AF37" s="168" t="e">
        <f>IF(AND('Mapa de Riesgos de Corrupción'!#REF!="Baja",'Mapa de Riesgos de Corrupción'!#REF!="Mayor"),CONCATENATE("R2C",'Mapa de Riesgos de Corrupción'!#REF!),"")</f>
        <v>#REF!</v>
      </c>
      <c r="AG37" s="169" t="str">
        <f ca="1">IF(AND('Mapa de Riesgos de Corrupción'!$AC$10="Baja",'Mapa de Riesgos de Corrupción'!$AE$10="Mayor"),CONCATENATE("R2C",'Mapa de Riesgos de Corrupción'!$R$10),"")</f>
        <v/>
      </c>
      <c r="AH37" s="170" t="e">
        <f>IF(AND('Mapa de Riesgos de Corrupción'!#REF!="Baja",'Mapa de Riesgos de Corrupción'!#REF!="Catastrófico"),CONCATENATE("R2C",'Mapa de Riesgos de Corrupción'!#REF!),"")</f>
        <v>#REF!</v>
      </c>
      <c r="AI37" s="171" t="e">
        <f>IF(AND('Mapa de Riesgos de Corrupción'!#REF!="Baja",'Mapa de Riesgos de Corrupción'!#REF!="Catastrófico"),CONCATENATE("R2C",'Mapa de Riesgos de Corrupción'!#REF!),"")</f>
        <v>#REF!</v>
      </c>
      <c r="AJ37" s="171" t="e">
        <f>IF(AND('Mapa de Riesgos de Corrupción'!#REF!="Baja",'Mapa de Riesgos de Corrupción'!#REF!="Catastrófico"),CONCATENATE("R2C",'Mapa de Riesgos de Corrupción'!#REF!),"")</f>
        <v>#REF!</v>
      </c>
      <c r="AK37" s="171" t="e">
        <f>IF(AND('Mapa de Riesgos de Corrupción'!#REF!="Baja",'Mapa de Riesgos de Corrupción'!#REF!="Catastrófico"),CONCATENATE("R2C",'Mapa de Riesgos de Corrupción'!#REF!),"")</f>
        <v>#REF!</v>
      </c>
      <c r="AL37" s="171" t="e">
        <f>IF(AND('Mapa de Riesgos de Corrupción'!#REF!="Baja",'Mapa de Riesgos de Corrupción'!#REF!="Catastrófico"),CONCATENATE("R2C",'Mapa de Riesgos de Corrupción'!#REF!),"")</f>
        <v>#REF!</v>
      </c>
      <c r="AM37" s="172" t="str">
        <f ca="1">IF(AND('Mapa de Riesgos de Corrupción'!$AC$10="Baja",'Mapa de Riesgos de Corrupción'!$AE$10="Catastrófico"),CONCATENATE("R2C",'Mapa de Riesgos de Corrupción'!$R$10),"")</f>
        <v/>
      </c>
      <c r="AN37" s="122"/>
      <c r="AO37" s="312"/>
      <c r="AP37" s="224"/>
      <c r="AQ37" s="224"/>
      <c r="AR37" s="224"/>
      <c r="AS37" s="224"/>
      <c r="AT37" s="313"/>
      <c r="AU37" s="122"/>
      <c r="AV37" s="122"/>
      <c r="AW37" s="122"/>
      <c r="AX37" s="122"/>
      <c r="AY37" s="122"/>
      <c r="AZ37" s="122"/>
      <c r="BA37" s="122"/>
      <c r="BB37" s="122"/>
      <c r="BC37" s="122"/>
      <c r="BD37" s="122"/>
      <c r="BE37" s="122"/>
      <c r="BF37" s="122"/>
      <c r="BG37" s="122"/>
      <c r="BH37" s="122"/>
      <c r="BI37" s="122"/>
    </row>
    <row r="38" spans="1:61" ht="15" customHeight="1">
      <c r="A38" s="122"/>
      <c r="B38" s="293"/>
      <c r="C38" s="224"/>
      <c r="D38" s="265"/>
      <c r="E38" s="223"/>
      <c r="F38" s="224"/>
      <c r="G38" s="224"/>
      <c r="H38" s="224"/>
      <c r="I38" s="224"/>
      <c r="J38" s="191" t="e">
        <f>IF(AND('Mapa de Riesgos de Corrupción'!#REF!="Baja",'Mapa de Riesgos de Corrupción'!#REF!="Leve"),CONCATENATE("R3C",'Mapa de Riesgos de Corrupción'!#REF!),"")</f>
        <v>#REF!</v>
      </c>
      <c r="K38" s="192" t="str">
        <f ca="1">IF(AND('Mapa de Riesgos de Corrupción'!$AC$11="Baja",'Mapa de Riesgos de Corrupción'!$AE$11="Leve"),CONCATENATE("R3C",'Mapa de Riesgos de Corrupción'!$R$11),"")</f>
        <v/>
      </c>
      <c r="L38" s="192" t="e">
        <f>IF(AND('Mapa de Riesgos de Corrupción'!#REF!="Baja",'Mapa de Riesgos de Corrupción'!#REF!="Leve"),CONCATENATE("R3C",'Mapa de Riesgos de Corrupción'!#REF!),"")</f>
        <v>#REF!</v>
      </c>
      <c r="M38" s="192" t="str">
        <f ca="1">IF(AND('Mapa de Riesgos de Corrupción'!$AC$12="Baja",'Mapa de Riesgos de Corrupción'!$AE$12="Leve"),CONCATENATE("R3C",'Mapa de Riesgos de Corrupción'!$R$12),"")</f>
        <v/>
      </c>
      <c r="N38" s="192" t="e">
        <f>IF(AND('Mapa de Riesgos de Corrupción'!#REF!="Baja",'Mapa de Riesgos de Corrupción'!#REF!="Leve"),CONCATENATE("R3C",'Mapa de Riesgos de Corrupción'!#REF!),"")</f>
        <v>#REF!</v>
      </c>
      <c r="O38" s="193" t="e">
        <f>IF(AND('Mapa de Riesgos de Corrupción'!#REF!="Baja",'Mapa de Riesgos de Corrupción'!#REF!="Leve"),CONCATENATE("R3C",'Mapa de Riesgos de Corrupción'!#REF!),"")</f>
        <v>#REF!</v>
      </c>
      <c r="P38" s="182" t="e">
        <f>IF(AND('Mapa de Riesgos de Corrupción'!#REF!="Baja",'Mapa de Riesgos de Corrupción'!#REF!="Menor"),CONCATENATE("R3C",'Mapa de Riesgos de Corrupción'!#REF!),"")</f>
        <v>#REF!</v>
      </c>
      <c r="Q38" s="183" t="str">
        <f ca="1">IF(AND('Mapa de Riesgos de Corrupción'!$AC$11="Baja",'Mapa de Riesgos de Corrupción'!$AE$11="Menor"),CONCATENATE("R3C",'Mapa de Riesgos de Corrupción'!$R$11),"")</f>
        <v/>
      </c>
      <c r="R38" s="183" t="e">
        <f>IF(AND('Mapa de Riesgos de Corrupción'!#REF!="Baja",'Mapa de Riesgos de Corrupción'!#REF!="Menor"),CONCATENATE("R3C",'Mapa de Riesgos de Corrupción'!#REF!),"")</f>
        <v>#REF!</v>
      </c>
      <c r="S38" s="183" t="str">
        <f ca="1">IF(AND('Mapa de Riesgos de Corrupción'!$AC$12="Baja",'Mapa de Riesgos de Corrupción'!$AE$12="Menor"),CONCATENATE("R3C",'Mapa de Riesgos de Corrupción'!$R$12),"")</f>
        <v/>
      </c>
      <c r="T38" s="183" t="e">
        <f>IF(AND('Mapa de Riesgos de Corrupción'!#REF!="Baja",'Mapa de Riesgos de Corrupción'!#REF!="Menor"),CONCATENATE("R3C",'Mapa de Riesgos de Corrupción'!#REF!),"")</f>
        <v>#REF!</v>
      </c>
      <c r="U38" s="184" t="e">
        <f>IF(AND('Mapa de Riesgos de Corrupción'!#REF!="Baja",'Mapa de Riesgos de Corrupción'!#REF!="Menor"),CONCATENATE("R3C",'Mapa de Riesgos de Corrupción'!#REF!),"")</f>
        <v>#REF!</v>
      </c>
      <c r="V38" s="182" t="e">
        <f>IF(AND('Mapa de Riesgos de Corrupción'!#REF!="Baja",'Mapa de Riesgos de Corrupción'!#REF!="Moderado"),CONCATENATE("R3C",'Mapa de Riesgos de Corrupción'!#REF!),"")</f>
        <v>#REF!</v>
      </c>
      <c r="W38" s="183" t="str">
        <f ca="1">IF(AND('Mapa de Riesgos de Corrupción'!$AC$11="Baja",'Mapa de Riesgos de Corrupción'!$AE$11="Moderado"),CONCATENATE("R3C",'Mapa de Riesgos de Corrupción'!$R$11),"")</f>
        <v/>
      </c>
      <c r="X38" s="183" t="e">
        <f>IF(AND('Mapa de Riesgos de Corrupción'!#REF!="Baja",'Mapa de Riesgos de Corrupción'!#REF!="Moderado"),CONCATENATE("R3C",'Mapa de Riesgos de Corrupción'!#REF!),"")</f>
        <v>#REF!</v>
      </c>
      <c r="Y38" s="183" t="str">
        <f ca="1">IF(AND('Mapa de Riesgos de Corrupción'!$AC$12="Baja",'Mapa de Riesgos de Corrupción'!$AE$12="Moderado"),CONCATENATE("R3C",'Mapa de Riesgos de Corrupción'!$R$12),"")</f>
        <v/>
      </c>
      <c r="Z38" s="183" t="e">
        <f>IF(AND('Mapa de Riesgos de Corrupción'!#REF!="Baja",'Mapa de Riesgos de Corrupción'!#REF!="Moderado"),CONCATENATE("R3C",'Mapa de Riesgos de Corrupción'!#REF!),"")</f>
        <v>#REF!</v>
      </c>
      <c r="AA38" s="184" t="e">
        <f>IF(AND('Mapa de Riesgos de Corrupción'!#REF!="Baja",'Mapa de Riesgos de Corrupción'!#REF!="Moderado"),CONCATENATE("R3C",'Mapa de Riesgos de Corrupción'!#REF!),"")</f>
        <v>#REF!</v>
      </c>
      <c r="AB38" s="167" t="e">
        <f>IF(AND('Mapa de Riesgos de Corrupción'!#REF!="Baja",'Mapa de Riesgos de Corrupción'!#REF!="Mayor"),CONCATENATE("R3C",'Mapa de Riesgos de Corrupción'!#REF!),"")</f>
        <v>#REF!</v>
      </c>
      <c r="AC38" s="168" t="str">
        <f ca="1">IF(AND('Mapa de Riesgos de Corrupción'!$AC$11="Baja",'Mapa de Riesgos de Corrupción'!$AE$11="Mayor"),CONCATENATE("R3C",'Mapa de Riesgos de Corrupción'!$R$11),"")</f>
        <v>R3C4</v>
      </c>
      <c r="AD38" s="168" t="e">
        <f>IF(AND('Mapa de Riesgos de Corrupción'!#REF!="Baja",'Mapa de Riesgos de Corrupción'!#REF!="Mayor"),CONCATENATE("R3C",'Mapa de Riesgos de Corrupción'!#REF!),"")</f>
        <v>#REF!</v>
      </c>
      <c r="AE38" s="168" t="str">
        <f ca="1">IF(AND('Mapa de Riesgos de Corrupción'!$AC$12="Baja",'Mapa de Riesgos de Corrupción'!$AE$12="Mayor"),CONCATENATE("R3C",'Mapa de Riesgos de Corrupción'!$R$12),"")</f>
        <v/>
      </c>
      <c r="AF38" s="168" t="e">
        <f>IF(AND('Mapa de Riesgos de Corrupción'!#REF!="Baja",'Mapa de Riesgos de Corrupción'!#REF!="Mayor"),CONCATENATE("R3C",'Mapa de Riesgos de Corrupción'!#REF!),"")</f>
        <v>#REF!</v>
      </c>
      <c r="AG38" s="169" t="e">
        <f>IF(AND('Mapa de Riesgos de Corrupción'!#REF!="Baja",'Mapa de Riesgos de Corrupción'!#REF!="Mayor"),CONCATENATE("R3C",'Mapa de Riesgos de Corrupción'!#REF!),"")</f>
        <v>#REF!</v>
      </c>
      <c r="AH38" s="170" t="e">
        <f>IF(AND('Mapa de Riesgos de Corrupción'!#REF!="Baja",'Mapa de Riesgos de Corrupción'!#REF!="Catastrófico"),CONCATENATE("R3C",'Mapa de Riesgos de Corrupción'!#REF!),"")</f>
        <v>#REF!</v>
      </c>
      <c r="AI38" s="171" t="str">
        <f ca="1">IF(AND('Mapa de Riesgos de Corrupción'!$AC$11="Baja",'Mapa de Riesgos de Corrupción'!$AE$11="Catastrófico"),CONCATENATE("R3C",'Mapa de Riesgos de Corrupción'!$R$11),"")</f>
        <v/>
      </c>
      <c r="AJ38" s="171" t="e">
        <f>IF(AND('Mapa de Riesgos de Corrupción'!#REF!="Baja",'Mapa de Riesgos de Corrupción'!#REF!="Catastrófico"),CONCATENATE("R3C",'Mapa de Riesgos de Corrupción'!#REF!),"")</f>
        <v>#REF!</v>
      </c>
      <c r="AK38" s="171" t="str">
        <f ca="1">IF(AND('Mapa de Riesgos de Corrupción'!$AC$12="Baja",'Mapa de Riesgos de Corrupción'!$AE$12="Catastrófico"),CONCATENATE("R3C",'Mapa de Riesgos de Corrupción'!$R$12),"")</f>
        <v>R3C5</v>
      </c>
      <c r="AL38" s="171" t="e">
        <f>IF(AND('Mapa de Riesgos de Corrupción'!#REF!="Baja",'Mapa de Riesgos de Corrupción'!#REF!="Catastrófico"),CONCATENATE("R3C",'Mapa de Riesgos de Corrupción'!#REF!),"")</f>
        <v>#REF!</v>
      </c>
      <c r="AM38" s="172" t="e">
        <f>IF(AND('Mapa de Riesgos de Corrupción'!#REF!="Baja",'Mapa de Riesgos de Corrupción'!#REF!="Catastrófico"),CONCATENATE("R3C",'Mapa de Riesgos de Corrupción'!#REF!),"")</f>
        <v>#REF!</v>
      </c>
      <c r="AN38" s="122"/>
      <c r="AO38" s="312"/>
      <c r="AP38" s="224"/>
      <c r="AQ38" s="224"/>
      <c r="AR38" s="224"/>
      <c r="AS38" s="224"/>
      <c r="AT38" s="313"/>
      <c r="AU38" s="122"/>
      <c r="AV38" s="122"/>
      <c r="AW38" s="122"/>
      <c r="AX38" s="122"/>
      <c r="AY38" s="122"/>
      <c r="AZ38" s="122"/>
      <c r="BA38" s="122"/>
      <c r="BB38" s="122"/>
      <c r="BC38" s="122"/>
      <c r="BD38" s="122"/>
      <c r="BE38" s="122"/>
      <c r="BF38" s="122"/>
      <c r="BG38" s="122"/>
      <c r="BH38" s="122"/>
      <c r="BI38" s="122"/>
    </row>
    <row r="39" spans="1:61" ht="15" customHeight="1">
      <c r="A39" s="122"/>
      <c r="B39" s="293"/>
      <c r="C39" s="224"/>
      <c r="D39" s="265"/>
      <c r="E39" s="223"/>
      <c r="F39" s="224"/>
      <c r="G39" s="224"/>
      <c r="H39" s="224"/>
      <c r="I39" s="224"/>
      <c r="J39" s="191" t="str">
        <f ca="1">IF(AND('Mapa de Riesgos de Corrupción'!$AC$13="Baja",'Mapa de Riesgos de Corrupción'!$AE$13="Leve"),CONCATENATE("R4C",'Mapa de Riesgos de Corrupción'!$R$13),"")</f>
        <v/>
      </c>
      <c r="K39" s="192" t="e">
        <f>IF(AND('Mapa de Riesgos de Corrupción'!#REF!="Baja",'Mapa de Riesgos de Corrupción'!#REF!="Leve"),CONCATENATE("R4C",'Mapa de Riesgos de Corrupción'!#REF!),"")</f>
        <v>#REF!</v>
      </c>
      <c r="L39" s="192" t="str">
        <f ca="1">IF(AND('Mapa de Riesgos de Corrupción'!$AC$14="Baja",'Mapa de Riesgos de Corrupción'!$AE$14="Leve"),CONCATENATE("R4C",'Mapa de Riesgos de Corrupción'!$R$14),"")</f>
        <v/>
      </c>
      <c r="M39" s="192" t="e">
        <f>IF(AND('Mapa de Riesgos de Corrupción'!#REF!="Baja",'Mapa de Riesgos de Corrupción'!#REF!="Leve"),CONCATENATE("R4C",'Mapa de Riesgos de Corrupción'!#REF!),"")</f>
        <v>#REF!</v>
      </c>
      <c r="N39" s="192" t="e">
        <f>IF(AND('Mapa de Riesgos de Corrupción'!#REF!="Baja",'Mapa de Riesgos de Corrupción'!#REF!="Leve"),CONCATENATE("R4C",'Mapa de Riesgos de Corrupción'!#REF!),"")</f>
        <v>#REF!</v>
      </c>
      <c r="O39" s="193" t="str">
        <f ca="1">IF(AND('Mapa de Riesgos de Corrupción'!$AC$15="Baja",'Mapa de Riesgos de Corrupción'!$AE$15="Leve"),CONCATENATE("R4C",'Mapa de Riesgos de Corrupción'!$R$15),"")</f>
        <v/>
      </c>
      <c r="P39" s="182" t="str">
        <f ca="1">IF(AND('Mapa de Riesgos de Corrupción'!$AC$13="Baja",'Mapa de Riesgos de Corrupción'!$AE$13="Menor"),CONCATENATE("R4C",'Mapa de Riesgos de Corrupción'!$R$13),"")</f>
        <v/>
      </c>
      <c r="Q39" s="183" t="e">
        <f>IF(AND('Mapa de Riesgos de Corrupción'!#REF!="Baja",'Mapa de Riesgos de Corrupción'!#REF!="Menor"),CONCATENATE("R4C",'Mapa de Riesgos de Corrupción'!#REF!),"")</f>
        <v>#REF!</v>
      </c>
      <c r="R39" s="183" t="str">
        <f ca="1">IF(AND('Mapa de Riesgos de Corrupción'!$AC$14="Baja",'Mapa de Riesgos de Corrupción'!$AE$14="Menor"),CONCATENATE("R4C",'Mapa de Riesgos de Corrupción'!$R$14),"")</f>
        <v/>
      </c>
      <c r="S39" s="183" t="e">
        <f>IF(AND('Mapa de Riesgos de Corrupción'!#REF!="Baja",'Mapa de Riesgos de Corrupción'!#REF!="Menor"),CONCATENATE("R4C",'Mapa de Riesgos de Corrupción'!#REF!),"")</f>
        <v>#REF!</v>
      </c>
      <c r="T39" s="183" t="e">
        <f>IF(AND('Mapa de Riesgos de Corrupción'!#REF!="Baja",'Mapa de Riesgos de Corrupción'!#REF!="Menor"),CONCATENATE("R4C",'Mapa de Riesgos de Corrupción'!#REF!),"")</f>
        <v>#REF!</v>
      </c>
      <c r="U39" s="184" t="str">
        <f ca="1">IF(AND('Mapa de Riesgos de Corrupción'!$AC$15="Baja",'Mapa de Riesgos de Corrupción'!$AE$15="Menor"),CONCATENATE("R4C",'Mapa de Riesgos de Corrupción'!$R$15),"")</f>
        <v/>
      </c>
      <c r="V39" s="182" t="str">
        <f ca="1">IF(AND('Mapa de Riesgos de Corrupción'!$AC$13="Baja",'Mapa de Riesgos de Corrupción'!$AE$13="Moderado"),CONCATENATE("R4C",'Mapa de Riesgos de Corrupción'!$R$13),"")</f>
        <v/>
      </c>
      <c r="W39" s="183" t="e">
        <f>IF(AND('Mapa de Riesgos de Corrupción'!#REF!="Baja",'Mapa de Riesgos de Corrupción'!#REF!="Moderado"),CONCATENATE("R4C",'Mapa de Riesgos de Corrupción'!#REF!),"")</f>
        <v>#REF!</v>
      </c>
      <c r="X39" s="183" t="str">
        <f ca="1">IF(AND('Mapa de Riesgos de Corrupción'!$AC$14="Baja",'Mapa de Riesgos de Corrupción'!$AE$14="Moderado"),CONCATENATE("R4C",'Mapa de Riesgos de Corrupción'!$R$14),"")</f>
        <v/>
      </c>
      <c r="Y39" s="183" t="e">
        <f>IF(AND('Mapa de Riesgos de Corrupción'!#REF!="Baja",'Mapa de Riesgos de Corrupción'!#REF!="Moderado"),CONCATENATE("R4C",'Mapa de Riesgos de Corrupción'!#REF!),"")</f>
        <v>#REF!</v>
      </c>
      <c r="Z39" s="183" t="e">
        <f>IF(AND('Mapa de Riesgos de Corrupción'!#REF!="Baja",'Mapa de Riesgos de Corrupción'!#REF!="Moderado"),CONCATENATE("R4C",'Mapa de Riesgos de Corrupción'!#REF!),"")</f>
        <v>#REF!</v>
      </c>
      <c r="AA39" s="184" t="str">
        <f ca="1">IF(AND('Mapa de Riesgos de Corrupción'!$AC$15="Baja",'Mapa de Riesgos de Corrupción'!$AE$15="Moderado"),CONCATENATE("R4C",'Mapa de Riesgos de Corrupción'!$R$15),"")</f>
        <v/>
      </c>
      <c r="AB39" s="167" t="str">
        <f ca="1">IF(AND('Mapa de Riesgos de Corrupción'!$AC$13="Baja",'Mapa de Riesgos de Corrupción'!$AE$13="Mayor"),CONCATENATE("R4C",'Mapa de Riesgos de Corrupción'!$R$13),"")</f>
        <v/>
      </c>
      <c r="AC39" s="168" t="e">
        <f>IF(AND('Mapa de Riesgos de Corrupción'!#REF!="Baja",'Mapa de Riesgos de Corrupción'!#REF!="Mayor"),CONCATENATE("R4C",'Mapa de Riesgos de Corrupción'!#REF!),"")</f>
        <v>#REF!</v>
      </c>
      <c r="AD39" s="168" t="str">
        <f ca="1">IF(AND('Mapa de Riesgos de Corrupción'!$AC$14="Baja",'Mapa de Riesgos de Corrupción'!$AE$14="Mayor"),CONCATENATE("R4C",'Mapa de Riesgos de Corrupción'!$R$14),"")</f>
        <v/>
      </c>
      <c r="AE39" s="168" t="e">
        <f>IF(AND('Mapa de Riesgos de Corrupción'!#REF!="Baja",'Mapa de Riesgos de Corrupción'!#REF!="Mayor"),CONCATENATE("R4C",'Mapa de Riesgos de Corrupción'!#REF!),"")</f>
        <v>#REF!</v>
      </c>
      <c r="AF39" s="168" t="e">
        <f>IF(AND('Mapa de Riesgos de Corrupción'!#REF!="Baja",'Mapa de Riesgos de Corrupción'!#REF!="Mayor"),CONCATENATE("R4C",'Mapa de Riesgos de Corrupción'!#REF!),"")</f>
        <v>#REF!</v>
      </c>
      <c r="AG39" s="169" t="str">
        <f ca="1">IF(AND('Mapa de Riesgos de Corrupción'!$AC$15="Baja",'Mapa de Riesgos de Corrupción'!$AE$15="Mayor"),CONCATENATE("R4C",'Mapa de Riesgos de Corrupción'!$R$15),"")</f>
        <v>R4C8</v>
      </c>
      <c r="AH39" s="170" t="str">
        <f ca="1">IF(AND('Mapa de Riesgos de Corrupción'!$AC$13="Baja",'Mapa de Riesgos de Corrupción'!$AE$13="Catastrófico"),CONCATENATE("R4C",'Mapa de Riesgos de Corrupción'!$R$13),"")</f>
        <v>R4C6</v>
      </c>
      <c r="AI39" s="171" t="e">
        <f>IF(AND('Mapa de Riesgos de Corrupción'!#REF!="Baja",'Mapa de Riesgos de Corrupción'!#REF!="Catastrófico"),CONCATENATE("R4C",'Mapa de Riesgos de Corrupción'!#REF!),"")</f>
        <v>#REF!</v>
      </c>
      <c r="AJ39" s="171" t="str">
        <f ca="1">IF(AND('Mapa de Riesgos de Corrupción'!$AC$14="Baja",'Mapa de Riesgos de Corrupción'!$AE$14="Catastrófico"),CONCATENATE("R4C",'Mapa de Riesgos de Corrupción'!$R$14),"")</f>
        <v/>
      </c>
      <c r="AK39" s="171" t="e">
        <f>IF(AND('Mapa de Riesgos de Corrupción'!#REF!="Baja",'Mapa de Riesgos de Corrupción'!#REF!="Catastrófico"),CONCATENATE("R4C",'Mapa de Riesgos de Corrupción'!#REF!),"")</f>
        <v>#REF!</v>
      </c>
      <c r="AL39" s="171" t="e">
        <f>IF(AND('Mapa de Riesgos de Corrupción'!#REF!="Baja",'Mapa de Riesgos de Corrupción'!#REF!="Catastrófico"),CONCATENATE("R4C",'Mapa de Riesgos de Corrupción'!#REF!),"")</f>
        <v>#REF!</v>
      </c>
      <c r="AM39" s="172" t="str">
        <f ca="1">IF(AND('Mapa de Riesgos de Corrupción'!$AC$15="Baja",'Mapa de Riesgos de Corrupción'!$AE$15="Catastrófico"),CONCATENATE("R4C",'Mapa de Riesgos de Corrupción'!$R$15),"")</f>
        <v/>
      </c>
      <c r="AN39" s="122"/>
      <c r="AO39" s="312"/>
      <c r="AP39" s="224"/>
      <c r="AQ39" s="224"/>
      <c r="AR39" s="224"/>
      <c r="AS39" s="224"/>
      <c r="AT39" s="313"/>
      <c r="AU39" s="122"/>
      <c r="AV39" s="122"/>
      <c r="AW39" s="122"/>
      <c r="AX39" s="122"/>
      <c r="AY39" s="122"/>
      <c r="AZ39" s="122"/>
      <c r="BA39" s="122"/>
      <c r="BB39" s="122"/>
      <c r="BC39" s="122"/>
      <c r="BD39" s="122"/>
      <c r="BE39" s="122"/>
      <c r="BF39" s="122"/>
      <c r="BG39" s="122"/>
      <c r="BH39" s="122"/>
      <c r="BI39" s="122"/>
    </row>
    <row r="40" spans="1:61" ht="15" customHeight="1">
      <c r="A40" s="122"/>
      <c r="B40" s="293"/>
      <c r="C40" s="224"/>
      <c r="D40" s="265"/>
      <c r="E40" s="223"/>
      <c r="F40" s="224"/>
      <c r="G40" s="224"/>
      <c r="H40" s="224"/>
      <c r="I40" s="224"/>
      <c r="J40" s="191" t="str">
        <f ca="1">IF(AND('Mapa de Riesgos de Corrupción'!$AC$16="Baja",'Mapa de Riesgos de Corrupción'!$AE$16="Leve"),CONCATENATE("R5C",'Mapa de Riesgos de Corrupción'!$R$16),"")</f>
        <v/>
      </c>
      <c r="K40" s="192" t="e">
        <f>IF(AND('Mapa de Riesgos de Corrupción'!#REF!="Baja",'Mapa de Riesgos de Corrupción'!#REF!="Leve"),CONCATENATE("R5C",'Mapa de Riesgos de Corrupción'!#REF!),"")</f>
        <v>#REF!</v>
      </c>
      <c r="L40" s="192" t="e">
        <f>IF(AND('Mapa de Riesgos de Corrupción'!#REF!="Baja",'Mapa de Riesgos de Corrupción'!#REF!="Leve"),CONCATENATE("R5C",'Mapa de Riesgos de Corrupción'!#REF!),"")</f>
        <v>#REF!</v>
      </c>
      <c r="M40" s="192" t="str">
        <f ca="1">IF(AND('Mapa de Riesgos de Corrupción'!$AC$17="Baja",'Mapa de Riesgos de Corrupción'!$AE$17="Leve"),CONCATENATE("R5C",'Mapa de Riesgos de Corrupción'!$R$17),"")</f>
        <v/>
      </c>
      <c r="N40" s="192" t="e">
        <f>IF(AND('Mapa de Riesgos de Corrupción'!#REF!="Baja",'Mapa de Riesgos de Corrupción'!#REF!="Leve"),CONCATENATE("R5C",'Mapa de Riesgos de Corrupción'!#REF!),"")</f>
        <v>#REF!</v>
      </c>
      <c r="O40" s="193" t="str">
        <f ca="1">IF(AND('Mapa de Riesgos de Corrupción'!$AC$18="Baja",'Mapa de Riesgos de Corrupción'!$AE$18="Leve"),CONCATENATE("R5C",'Mapa de Riesgos de Corrupción'!$R$18),"")</f>
        <v/>
      </c>
      <c r="P40" s="182" t="str">
        <f ca="1">IF(AND('Mapa de Riesgos de Corrupción'!$AC$16="Baja",'Mapa de Riesgos de Corrupción'!$AE$16="Menor"),CONCATENATE("R5C",'Mapa de Riesgos de Corrupción'!$R$16),"")</f>
        <v/>
      </c>
      <c r="Q40" s="183" t="e">
        <f>IF(AND('Mapa de Riesgos de Corrupción'!#REF!="Baja",'Mapa de Riesgos de Corrupción'!#REF!="Menor"),CONCATENATE("R5C",'Mapa de Riesgos de Corrupción'!#REF!),"")</f>
        <v>#REF!</v>
      </c>
      <c r="R40" s="183" t="e">
        <f>IF(AND('Mapa de Riesgos de Corrupción'!#REF!="Baja",'Mapa de Riesgos de Corrupción'!#REF!="Menor"),CONCATENATE("R5C",'Mapa de Riesgos de Corrupción'!#REF!),"")</f>
        <v>#REF!</v>
      </c>
      <c r="S40" s="183" t="str">
        <f ca="1">IF(AND('Mapa de Riesgos de Corrupción'!$AC$17="Baja",'Mapa de Riesgos de Corrupción'!$AE$17="Menor"),CONCATENATE("R5C",'Mapa de Riesgos de Corrupción'!$R$17),"")</f>
        <v/>
      </c>
      <c r="T40" s="183" t="e">
        <f>IF(AND('Mapa de Riesgos de Corrupción'!#REF!="Baja",'Mapa de Riesgos de Corrupción'!#REF!="Menor"),CONCATENATE("R5C",'Mapa de Riesgos de Corrupción'!#REF!),"")</f>
        <v>#REF!</v>
      </c>
      <c r="U40" s="184" t="str">
        <f ca="1">IF(AND('Mapa de Riesgos de Corrupción'!$AC$18="Baja",'Mapa de Riesgos de Corrupción'!$AE$18="Menor"),CONCATENATE("R5C",'Mapa de Riesgos de Corrupción'!$R$18),"")</f>
        <v/>
      </c>
      <c r="V40" s="182" t="str">
        <f ca="1">IF(AND('Mapa de Riesgos de Corrupción'!$AC$16="Baja",'Mapa de Riesgos de Corrupción'!$AE$16="Moderado"),CONCATENATE("R5C",'Mapa de Riesgos de Corrupción'!$R$16),"")</f>
        <v/>
      </c>
      <c r="W40" s="183" t="e">
        <f>IF(AND('Mapa de Riesgos de Corrupción'!#REF!="Baja",'Mapa de Riesgos de Corrupción'!#REF!="Moderado"),CONCATENATE("R5C",'Mapa de Riesgos de Corrupción'!#REF!),"")</f>
        <v>#REF!</v>
      </c>
      <c r="X40" s="183" t="e">
        <f>IF(AND('Mapa de Riesgos de Corrupción'!#REF!="Baja",'Mapa de Riesgos de Corrupción'!#REF!="Moderado"),CONCATENATE("R5C",'Mapa de Riesgos de Corrupción'!#REF!),"")</f>
        <v>#REF!</v>
      </c>
      <c r="Y40" s="183" t="str">
        <f ca="1">IF(AND('Mapa de Riesgos de Corrupción'!$AC$17="Baja",'Mapa de Riesgos de Corrupción'!$AE$17="Moderado"),CONCATENATE("R5C",'Mapa de Riesgos de Corrupción'!$R$17),"")</f>
        <v/>
      </c>
      <c r="Z40" s="183" t="e">
        <f>IF(AND('Mapa de Riesgos de Corrupción'!#REF!="Baja",'Mapa de Riesgos de Corrupción'!#REF!="Moderado"),CONCATENATE("R5C",'Mapa de Riesgos de Corrupción'!#REF!),"")</f>
        <v>#REF!</v>
      </c>
      <c r="AA40" s="184" t="str">
        <f ca="1">IF(AND('Mapa de Riesgos de Corrupción'!$AC$18="Baja",'Mapa de Riesgos de Corrupción'!$AE$18="Moderado"),CONCATENATE("R5C",'Mapa de Riesgos de Corrupción'!$R$18),"")</f>
        <v/>
      </c>
      <c r="AB40" s="167" t="str">
        <f ca="1">IF(AND('Mapa de Riesgos de Corrupción'!$AC$16="Baja",'Mapa de Riesgos de Corrupción'!$AE$16="Mayor"),CONCATENATE("R5C",'Mapa de Riesgos de Corrupción'!$R$16),"")</f>
        <v/>
      </c>
      <c r="AC40" s="168" t="e">
        <f>IF(AND('Mapa de Riesgos de Corrupción'!#REF!="Baja",'Mapa de Riesgos de Corrupción'!#REF!="Mayor"),CONCATENATE("R5C",'Mapa de Riesgos de Corrupción'!#REF!),"")</f>
        <v>#REF!</v>
      </c>
      <c r="AD40" s="168" t="e">
        <f>IF(AND('Mapa de Riesgos de Corrupción'!#REF!="Baja",'Mapa de Riesgos de Corrupción'!#REF!="Mayor"),CONCATENATE("R5C",'Mapa de Riesgos de Corrupción'!#REF!),"")</f>
        <v>#REF!</v>
      </c>
      <c r="AE40" s="168" t="str">
        <f ca="1">IF(AND('Mapa de Riesgos de Corrupción'!$AC$17="Baja",'Mapa de Riesgos de Corrupción'!$AE$17="Mayor"),CONCATENATE("R5C",'Mapa de Riesgos de Corrupción'!$R$17),"")</f>
        <v/>
      </c>
      <c r="AF40" s="168" t="e">
        <f>IF(AND('Mapa de Riesgos de Corrupción'!#REF!="Baja",'Mapa de Riesgos de Corrupción'!#REF!="Mayor"),CONCATENATE("R5C",'Mapa de Riesgos de Corrupción'!#REF!),"")</f>
        <v>#REF!</v>
      </c>
      <c r="AG40" s="169" t="str">
        <f ca="1">IF(AND('Mapa de Riesgos de Corrupción'!$AC$18="Baja",'Mapa de Riesgos de Corrupción'!$AE$18="Mayor"),CONCATENATE("R5C",'Mapa de Riesgos de Corrupción'!$R$18),"")</f>
        <v/>
      </c>
      <c r="AH40" s="170" t="str">
        <f ca="1">IF(AND('Mapa de Riesgos de Corrupción'!$AC$16="Baja",'Mapa de Riesgos de Corrupción'!$AE$16="Catastrófico"),CONCATENATE("R5C",'Mapa de Riesgos de Corrupción'!$R$16),"")</f>
        <v/>
      </c>
      <c r="AI40" s="171" t="e">
        <f>IF(AND('Mapa de Riesgos de Corrupción'!#REF!="Baja",'Mapa de Riesgos de Corrupción'!#REF!="Catastrófico"),CONCATENATE("R5C",'Mapa de Riesgos de Corrupción'!#REF!),"")</f>
        <v>#REF!</v>
      </c>
      <c r="AJ40" s="171" t="e">
        <f>IF(AND('Mapa de Riesgos de Corrupción'!#REF!="Baja",'Mapa de Riesgos de Corrupción'!#REF!="Catastrófico"),CONCATENATE("R5C",'Mapa de Riesgos de Corrupción'!#REF!),"")</f>
        <v>#REF!</v>
      </c>
      <c r="AK40" s="171" t="str">
        <f ca="1">IF(AND('Mapa de Riesgos de Corrupción'!$AC$17="Baja",'Mapa de Riesgos de Corrupción'!$AE$17="Catastrófico"),CONCATENATE("R5C",'Mapa de Riesgos de Corrupción'!$R$17),"")</f>
        <v/>
      </c>
      <c r="AL40" s="171" t="e">
        <f>IF(AND('Mapa de Riesgos de Corrupción'!#REF!="Baja",'Mapa de Riesgos de Corrupción'!#REF!="Catastrófico"),CONCATENATE("R5C",'Mapa de Riesgos de Corrupción'!#REF!),"")</f>
        <v>#REF!</v>
      </c>
      <c r="AM40" s="172" t="str">
        <f ca="1">IF(AND('Mapa de Riesgos de Corrupción'!$AC$18="Baja",'Mapa de Riesgos de Corrupción'!$AE$18="Catastrófico"),CONCATENATE("R5C",'Mapa de Riesgos de Corrupción'!$R$18),"")</f>
        <v/>
      </c>
      <c r="AN40" s="122"/>
      <c r="AO40" s="312"/>
      <c r="AP40" s="224"/>
      <c r="AQ40" s="224"/>
      <c r="AR40" s="224"/>
      <c r="AS40" s="224"/>
      <c r="AT40" s="313"/>
      <c r="AU40" s="122"/>
      <c r="AV40" s="122"/>
      <c r="AW40" s="122"/>
      <c r="AX40" s="122"/>
      <c r="AY40" s="122"/>
      <c r="AZ40" s="122"/>
      <c r="BA40" s="122"/>
      <c r="BB40" s="122"/>
      <c r="BC40" s="122"/>
      <c r="BD40" s="122"/>
      <c r="BE40" s="122"/>
      <c r="BF40" s="122"/>
      <c r="BG40" s="122"/>
      <c r="BH40" s="122"/>
      <c r="BI40" s="122"/>
    </row>
    <row r="41" spans="1:61" ht="15" customHeight="1">
      <c r="A41" s="122"/>
      <c r="B41" s="293"/>
      <c r="C41" s="224"/>
      <c r="D41" s="265"/>
      <c r="E41" s="223"/>
      <c r="F41" s="224"/>
      <c r="G41" s="224"/>
      <c r="H41" s="224"/>
      <c r="I41" s="224"/>
      <c r="J41" s="191" t="e">
        <f>IF(AND('Mapa de Riesgos de Corrupción'!#REF!="Baja",'Mapa de Riesgos de Corrupción'!#REF!="Leve"),CONCATENATE("R6C",'Mapa de Riesgos de Corrupción'!#REF!),"")</f>
        <v>#REF!</v>
      </c>
      <c r="K41" s="192" t="e">
        <f>IF(AND('Mapa de Riesgos de Corrupción'!#REF!="Baja",'Mapa de Riesgos de Corrupción'!#REF!="Leve"),CONCATENATE("R6C",'Mapa de Riesgos de Corrupción'!#REF!),"")</f>
        <v>#REF!</v>
      </c>
      <c r="L41" s="192" t="e">
        <f>IF(AND('Mapa de Riesgos de Corrupción'!#REF!="Baja",'Mapa de Riesgos de Corrupción'!#REF!="Leve"),CONCATENATE("R6C",'Mapa de Riesgos de Corrupción'!#REF!),"")</f>
        <v>#REF!</v>
      </c>
      <c r="M41" s="192" t="e">
        <f>IF(AND('Mapa de Riesgos de Corrupción'!#REF!="Baja",'Mapa de Riesgos de Corrupción'!#REF!="Leve"),CONCATENATE("R6C",'Mapa de Riesgos de Corrupción'!#REF!),"")</f>
        <v>#REF!</v>
      </c>
      <c r="N41" s="192" t="e">
        <f>IF(AND('Mapa de Riesgos de Corrupción'!#REF!="Baja",'Mapa de Riesgos de Corrupción'!#REF!="Leve"),CONCATENATE("R6C",'Mapa de Riesgos de Corrupción'!#REF!),"")</f>
        <v>#REF!</v>
      </c>
      <c r="O41" s="193" t="e">
        <f>IF(AND('Mapa de Riesgos de Corrupción'!#REF!="Baja",'Mapa de Riesgos de Corrupción'!#REF!="Leve"),CONCATENATE("R6C",'Mapa de Riesgos de Corrupción'!#REF!),"")</f>
        <v>#REF!</v>
      </c>
      <c r="P41" s="182" t="e">
        <f>IF(AND('Mapa de Riesgos de Corrupción'!#REF!="Baja",'Mapa de Riesgos de Corrupción'!#REF!="Menor"),CONCATENATE("R6C",'Mapa de Riesgos de Corrupción'!#REF!),"")</f>
        <v>#REF!</v>
      </c>
      <c r="Q41" s="183" t="e">
        <f>IF(AND('Mapa de Riesgos de Corrupción'!#REF!="Baja",'Mapa de Riesgos de Corrupción'!#REF!="Menor"),CONCATENATE("R6C",'Mapa de Riesgos de Corrupción'!#REF!),"")</f>
        <v>#REF!</v>
      </c>
      <c r="R41" s="183" t="e">
        <f>IF(AND('Mapa de Riesgos de Corrupción'!#REF!="Baja",'Mapa de Riesgos de Corrupción'!#REF!="Menor"),CONCATENATE("R6C",'Mapa de Riesgos de Corrupción'!#REF!),"")</f>
        <v>#REF!</v>
      </c>
      <c r="S41" s="183" t="e">
        <f>IF(AND('Mapa de Riesgos de Corrupción'!#REF!="Baja",'Mapa de Riesgos de Corrupción'!#REF!="Menor"),CONCATENATE("R6C",'Mapa de Riesgos de Corrupción'!#REF!),"")</f>
        <v>#REF!</v>
      </c>
      <c r="T41" s="183" t="e">
        <f>IF(AND('Mapa de Riesgos de Corrupción'!#REF!="Baja",'Mapa de Riesgos de Corrupción'!#REF!="Menor"),CONCATENATE("R6C",'Mapa de Riesgos de Corrupción'!#REF!),"")</f>
        <v>#REF!</v>
      </c>
      <c r="U41" s="184" t="e">
        <f>IF(AND('Mapa de Riesgos de Corrupción'!#REF!="Baja",'Mapa de Riesgos de Corrupción'!#REF!="Menor"),CONCATENATE("R6C",'Mapa de Riesgos de Corrupción'!#REF!),"")</f>
        <v>#REF!</v>
      </c>
      <c r="V41" s="182" t="e">
        <f>IF(AND('Mapa de Riesgos de Corrupción'!#REF!="Baja",'Mapa de Riesgos de Corrupción'!#REF!="Moderado"),CONCATENATE("R6C",'Mapa de Riesgos de Corrupción'!#REF!),"")</f>
        <v>#REF!</v>
      </c>
      <c r="W41" s="183" t="e">
        <f>IF(AND('Mapa de Riesgos de Corrupción'!#REF!="Baja",'Mapa de Riesgos de Corrupción'!#REF!="Moderado"),CONCATENATE("R6C",'Mapa de Riesgos de Corrupción'!#REF!),"")</f>
        <v>#REF!</v>
      </c>
      <c r="X41" s="183" t="e">
        <f>IF(AND('Mapa de Riesgos de Corrupción'!#REF!="Baja",'Mapa de Riesgos de Corrupción'!#REF!="Moderado"),CONCATENATE("R6C",'Mapa de Riesgos de Corrupción'!#REF!),"")</f>
        <v>#REF!</v>
      </c>
      <c r="Y41" s="183" t="e">
        <f>IF(AND('Mapa de Riesgos de Corrupción'!#REF!="Baja",'Mapa de Riesgos de Corrupción'!#REF!="Moderado"),CONCATENATE("R6C",'Mapa de Riesgos de Corrupción'!#REF!),"")</f>
        <v>#REF!</v>
      </c>
      <c r="Z41" s="183" t="e">
        <f>IF(AND('Mapa de Riesgos de Corrupción'!#REF!="Baja",'Mapa de Riesgos de Corrupción'!#REF!="Moderado"),CONCATENATE("R6C",'Mapa de Riesgos de Corrupción'!#REF!),"")</f>
        <v>#REF!</v>
      </c>
      <c r="AA41" s="184" t="e">
        <f>IF(AND('Mapa de Riesgos de Corrupción'!#REF!="Baja",'Mapa de Riesgos de Corrupción'!#REF!="Moderado"),CONCATENATE("R6C",'Mapa de Riesgos de Corrupción'!#REF!),"")</f>
        <v>#REF!</v>
      </c>
      <c r="AB41" s="167" t="e">
        <f>IF(AND('Mapa de Riesgos de Corrupción'!#REF!="Baja",'Mapa de Riesgos de Corrupción'!#REF!="Mayor"),CONCATENATE("R6C",'Mapa de Riesgos de Corrupción'!#REF!),"")</f>
        <v>#REF!</v>
      </c>
      <c r="AC41" s="168" t="e">
        <f>IF(AND('Mapa de Riesgos de Corrupción'!#REF!="Baja",'Mapa de Riesgos de Corrupción'!#REF!="Mayor"),CONCATENATE("R6C",'Mapa de Riesgos de Corrupción'!#REF!),"")</f>
        <v>#REF!</v>
      </c>
      <c r="AD41" s="168" t="e">
        <f>IF(AND('Mapa de Riesgos de Corrupción'!#REF!="Baja",'Mapa de Riesgos de Corrupción'!#REF!="Mayor"),CONCATENATE("R6C",'Mapa de Riesgos de Corrupción'!#REF!),"")</f>
        <v>#REF!</v>
      </c>
      <c r="AE41" s="168" t="e">
        <f>IF(AND('Mapa de Riesgos de Corrupción'!#REF!="Baja",'Mapa de Riesgos de Corrupción'!#REF!="Mayor"),CONCATENATE("R6C",'Mapa de Riesgos de Corrupción'!#REF!),"")</f>
        <v>#REF!</v>
      </c>
      <c r="AF41" s="168" t="e">
        <f>IF(AND('Mapa de Riesgos de Corrupción'!#REF!="Baja",'Mapa de Riesgos de Corrupción'!#REF!="Mayor"),CONCATENATE("R6C",'Mapa de Riesgos de Corrupción'!#REF!),"")</f>
        <v>#REF!</v>
      </c>
      <c r="AG41" s="169" t="e">
        <f>IF(AND('Mapa de Riesgos de Corrupción'!#REF!="Baja",'Mapa de Riesgos de Corrupción'!#REF!="Mayor"),CONCATENATE("R6C",'Mapa de Riesgos de Corrupción'!#REF!),"")</f>
        <v>#REF!</v>
      </c>
      <c r="AH41" s="170" t="e">
        <f>IF(AND('Mapa de Riesgos de Corrupción'!#REF!="Baja",'Mapa de Riesgos de Corrupción'!#REF!="Catastrófico"),CONCATENATE("R6C",'Mapa de Riesgos de Corrupción'!#REF!),"")</f>
        <v>#REF!</v>
      </c>
      <c r="AI41" s="171" t="e">
        <f>IF(AND('Mapa de Riesgos de Corrupción'!#REF!="Baja",'Mapa de Riesgos de Corrupción'!#REF!="Catastrófico"),CONCATENATE("R6C",'Mapa de Riesgos de Corrupción'!#REF!),"")</f>
        <v>#REF!</v>
      </c>
      <c r="AJ41" s="171" t="e">
        <f>IF(AND('Mapa de Riesgos de Corrupción'!#REF!="Baja",'Mapa de Riesgos de Corrupción'!#REF!="Catastrófico"),CONCATENATE("R6C",'Mapa de Riesgos de Corrupción'!#REF!),"")</f>
        <v>#REF!</v>
      </c>
      <c r="AK41" s="171" t="e">
        <f>IF(AND('Mapa de Riesgos de Corrupción'!#REF!="Baja",'Mapa de Riesgos de Corrupción'!#REF!="Catastrófico"),CONCATENATE("R6C",'Mapa de Riesgos de Corrupción'!#REF!),"")</f>
        <v>#REF!</v>
      </c>
      <c r="AL41" s="171" t="e">
        <f>IF(AND('Mapa de Riesgos de Corrupción'!#REF!="Baja",'Mapa de Riesgos de Corrupción'!#REF!="Catastrófico"),CONCATENATE("R6C",'Mapa de Riesgos de Corrupción'!#REF!),"")</f>
        <v>#REF!</v>
      </c>
      <c r="AM41" s="172" t="e">
        <f>IF(AND('Mapa de Riesgos de Corrupción'!#REF!="Baja",'Mapa de Riesgos de Corrupción'!#REF!="Catastrófico"),CONCATENATE("R6C",'Mapa de Riesgos de Corrupción'!#REF!),"")</f>
        <v>#REF!</v>
      </c>
      <c r="AN41" s="122"/>
      <c r="AO41" s="312"/>
      <c r="AP41" s="224"/>
      <c r="AQ41" s="224"/>
      <c r="AR41" s="224"/>
      <c r="AS41" s="224"/>
      <c r="AT41" s="313"/>
      <c r="AU41" s="122"/>
      <c r="AV41" s="122"/>
      <c r="AW41" s="122"/>
      <c r="AX41" s="122"/>
      <c r="AY41" s="122"/>
      <c r="AZ41" s="122"/>
      <c r="BA41" s="122"/>
      <c r="BB41" s="122"/>
      <c r="BC41" s="122"/>
      <c r="BD41" s="122"/>
      <c r="BE41" s="122"/>
      <c r="BF41" s="122"/>
      <c r="BG41" s="122"/>
      <c r="BH41" s="122"/>
      <c r="BI41" s="122"/>
    </row>
    <row r="42" spans="1:61" ht="15" customHeight="1">
      <c r="A42" s="122"/>
      <c r="B42" s="293"/>
      <c r="C42" s="224"/>
      <c r="D42" s="265"/>
      <c r="E42" s="223"/>
      <c r="F42" s="224"/>
      <c r="G42" s="224"/>
      <c r="H42" s="224"/>
      <c r="I42" s="224"/>
      <c r="J42" s="191" t="e">
        <f>IF(AND('Mapa de Riesgos de Corrupción'!#REF!="Baja",'Mapa de Riesgos de Corrupción'!#REF!="Leve"),CONCATENATE("R7C",'Mapa de Riesgos de Corrupción'!#REF!),"")</f>
        <v>#REF!</v>
      </c>
      <c r="K42" s="192" t="str">
        <f ca="1">IF(AND('Mapa de Riesgos de Corrupción'!$AC$19="Baja",'Mapa de Riesgos de Corrupción'!$AE$19="Leve"),CONCATENATE("R7C",'Mapa de Riesgos de Corrupción'!$R$19),"")</f>
        <v/>
      </c>
      <c r="L42" s="192" t="e">
        <f>IF(AND('Mapa de Riesgos de Corrupción'!#REF!="Baja",'Mapa de Riesgos de Corrupción'!#REF!="Leve"),CONCATENATE("R7C",'Mapa de Riesgos de Corrupción'!#REF!),"")</f>
        <v>#REF!</v>
      </c>
      <c r="M42" s="192" t="str">
        <f ca="1">IF(AND('Mapa de Riesgos de Corrupción'!$AC$20="Baja",'Mapa de Riesgos de Corrupción'!$AE$20="Leve"),CONCATENATE("R7C",'Mapa de Riesgos de Corrupción'!$R$20),"")</f>
        <v/>
      </c>
      <c r="N42" s="192" t="e">
        <f>IF(AND('Mapa de Riesgos de Corrupción'!#REF!="Baja",'Mapa de Riesgos de Corrupción'!#REF!="Leve"),CONCATENATE("R7C",'Mapa de Riesgos de Corrupción'!#REF!),"")</f>
        <v>#REF!</v>
      </c>
      <c r="O42" s="193" t="e">
        <f>IF(AND('Mapa de Riesgos de Corrupción'!#REF!="Baja",'Mapa de Riesgos de Corrupción'!#REF!="Leve"),CONCATENATE("R7C",'Mapa de Riesgos de Corrupción'!#REF!),"")</f>
        <v>#REF!</v>
      </c>
      <c r="P42" s="182" t="e">
        <f>IF(AND('Mapa de Riesgos de Corrupción'!#REF!="Baja",'Mapa de Riesgos de Corrupción'!#REF!="Menor"),CONCATENATE("R7C",'Mapa de Riesgos de Corrupción'!#REF!),"")</f>
        <v>#REF!</v>
      </c>
      <c r="Q42" s="183" t="str">
        <f ca="1">IF(AND('Mapa de Riesgos de Corrupción'!$AC$19="Baja",'Mapa de Riesgos de Corrupción'!$AE$19="Menor"),CONCATENATE("R7C",'Mapa de Riesgos de Corrupción'!$R$19),"")</f>
        <v/>
      </c>
      <c r="R42" s="183" t="e">
        <f>IF(AND('Mapa de Riesgos de Corrupción'!#REF!="Baja",'Mapa de Riesgos de Corrupción'!#REF!="Menor"),CONCATENATE("R7C",'Mapa de Riesgos de Corrupción'!#REF!),"")</f>
        <v>#REF!</v>
      </c>
      <c r="S42" s="183" t="str">
        <f ca="1">IF(AND('Mapa de Riesgos de Corrupción'!$AC$20="Baja",'Mapa de Riesgos de Corrupción'!$AE$20="Menor"),CONCATENATE("R7C",'Mapa de Riesgos de Corrupción'!$R$20),"")</f>
        <v/>
      </c>
      <c r="T42" s="183" t="e">
        <f>IF(AND('Mapa de Riesgos de Corrupción'!#REF!="Baja",'Mapa de Riesgos de Corrupción'!#REF!="Menor"),CONCATENATE("R7C",'Mapa de Riesgos de Corrupción'!#REF!),"")</f>
        <v>#REF!</v>
      </c>
      <c r="U42" s="184" t="e">
        <f>IF(AND('Mapa de Riesgos de Corrupción'!#REF!="Baja",'Mapa de Riesgos de Corrupción'!#REF!="Menor"),CONCATENATE("R7C",'Mapa de Riesgos de Corrupción'!#REF!),"")</f>
        <v>#REF!</v>
      </c>
      <c r="V42" s="182" t="e">
        <f>IF(AND('Mapa de Riesgos de Corrupción'!#REF!="Baja",'Mapa de Riesgos de Corrupción'!#REF!="Moderado"),CONCATENATE("R7C",'Mapa de Riesgos de Corrupción'!#REF!),"")</f>
        <v>#REF!</v>
      </c>
      <c r="W42" s="183" t="str">
        <f ca="1">IF(AND('Mapa de Riesgos de Corrupción'!$AC$19="Baja",'Mapa de Riesgos de Corrupción'!$AE$19="Moderado"),CONCATENATE("R7C",'Mapa de Riesgos de Corrupción'!$R$19),"")</f>
        <v/>
      </c>
      <c r="X42" s="183" t="e">
        <f>IF(AND('Mapa de Riesgos de Corrupción'!#REF!="Baja",'Mapa de Riesgos de Corrupción'!#REF!="Moderado"),CONCATENATE("R7C",'Mapa de Riesgos de Corrupción'!#REF!),"")</f>
        <v>#REF!</v>
      </c>
      <c r="Y42" s="183" t="str">
        <f ca="1">IF(AND('Mapa de Riesgos de Corrupción'!$AC$20="Baja",'Mapa de Riesgos de Corrupción'!$AE$20="Moderado"),CONCATENATE("R7C",'Mapa de Riesgos de Corrupción'!$R$20),"")</f>
        <v/>
      </c>
      <c r="Z42" s="183" t="e">
        <f>IF(AND('Mapa de Riesgos de Corrupción'!#REF!="Baja",'Mapa de Riesgos de Corrupción'!#REF!="Moderado"),CONCATENATE("R7C",'Mapa de Riesgos de Corrupción'!#REF!),"")</f>
        <v>#REF!</v>
      </c>
      <c r="AA42" s="184" t="e">
        <f>IF(AND('Mapa de Riesgos de Corrupción'!#REF!="Baja",'Mapa de Riesgos de Corrupción'!#REF!="Moderado"),CONCATENATE("R7C",'Mapa de Riesgos de Corrupción'!#REF!),"")</f>
        <v>#REF!</v>
      </c>
      <c r="AB42" s="167" t="e">
        <f>IF(AND('Mapa de Riesgos de Corrupción'!#REF!="Baja",'Mapa de Riesgos de Corrupción'!#REF!="Mayor"),CONCATENATE("R7C",'Mapa de Riesgos de Corrupción'!#REF!),"")</f>
        <v>#REF!</v>
      </c>
      <c r="AC42" s="168" t="str">
        <f ca="1">IF(AND('Mapa de Riesgos de Corrupción'!$AC$19="Baja",'Mapa de Riesgos de Corrupción'!$AE$19="Mayor"),CONCATENATE("R7C",'Mapa de Riesgos de Corrupción'!$R$19),"")</f>
        <v/>
      </c>
      <c r="AD42" s="168" t="e">
        <f>IF(AND('Mapa de Riesgos de Corrupción'!#REF!="Baja",'Mapa de Riesgos de Corrupción'!#REF!="Mayor"),CONCATENATE("R7C",'Mapa de Riesgos de Corrupción'!#REF!),"")</f>
        <v>#REF!</v>
      </c>
      <c r="AE42" s="168" t="str">
        <f ca="1">IF(AND('Mapa de Riesgos de Corrupción'!$AC$20="Baja",'Mapa de Riesgos de Corrupción'!$AE$20="Mayor"),CONCATENATE("R7C",'Mapa de Riesgos de Corrupción'!$R$20),"")</f>
        <v/>
      </c>
      <c r="AF42" s="168" t="e">
        <f>IF(AND('Mapa de Riesgos de Corrupción'!#REF!="Baja",'Mapa de Riesgos de Corrupción'!#REF!="Mayor"),CONCATENATE("R7C",'Mapa de Riesgos de Corrupción'!#REF!),"")</f>
        <v>#REF!</v>
      </c>
      <c r="AG42" s="169" t="e">
        <f>IF(AND('Mapa de Riesgos de Corrupción'!#REF!="Baja",'Mapa de Riesgos de Corrupción'!#REF!="Mayor"),CONCATENATE("R7C",'Mapa de Riesgos de Corrupción'!#REF!),"")</f>
        <v>#REF!</v>
      </c>
      <c r="AH42" s="170" t="e">
        <f>IF(AND('Mapa de Riesgos de Corrupción'!#REF!="Baja",'Mapa de Riesgos de Corrupción'!#REF!="Catastrófico"),CONCATENATE("R7C",'Mapa de Riesgos de Corrupción'!#REF!),"")</f>
        <v>#REF!</v>
      </c>
      <c r="AI42" s="171" t="str">
        <f ca="1">IF(AND('Mapa de Riesgos de Corrupción'!$AC$19="Baja",'Mapa de Riesgos de Corrupción'!$AE$19="Catastrófico"),CONCATENATE("R7C",'Mapa de Riesgos de Corrupción'!$R$19),"")</f>
        <v>R7C12</v>
      </c>
      <c r="AJ42" s="171" t="e">
        <f>IF(AND('Mapa de Riesgos de Corrupción'!#REF!="Baja",'Mapa de Riesgos de Corrupción'!#REF!="Catastrófico"),CONCATENATE("R7C",'Mapa de Riesgos de Corrupción'!#REF!),"")</f>
        <v>#REF!</v>
      </c>
      <c r="AK42" s="171" t="str">
        <f ca="1">IF(AND('Mapa de Riesgos de Corrupción'!$AC$20="Baja",'Mapa de Riesgos de Corrupción'!$AE$20="Catastrófico"),CONCATENATE("R7C",'Mapa de Riesgos de Corrupción'!$R$20),"")</f>
        <v/>
      </c>
      <c r="AL42" s="171" t="e">
        <f>IF(AND('Mapa de Riesgos de Corrupción'!#REF!="Baja",'Mapa de Riesgos de Corrupción'!#REF!="Catastrófico"),CONCATENATE("R7C",'Mapa de Riesgos de Corrupción'!#REF!),"")</f>
        <v>#REF!</v>
      </c>
      <c r="AM42" s="172" t="e">
        <f>IF(AND('Mapa de Riesgos de Corrupción'!#REF!="Baja",'Mapa de Riesgos de Corrupción'!#REF!="Catastrófico"),CONCATENATE("R7C",'Mapa de Riesgos de Corrupción'!#REF!),"")</f>
        <v>#REF!</v>
      </c>
      <c r="AN42" s="122"/>
      <c r="AO42" s="312"/>
      <c r="AP42" s="224"/>
      <c r="AQ42" s="224"/>
      <c r="AR42" s="224"/>
      <c r="AS42" s="224"/>
      <c r="AT42" s="313"/>
      <c r="AU42" s="122"/>
      <c r="AV42" s="122"/>
      <c r="AW42" s="122"/>
      <c r="AX42" s="122"/>
      <c r="AY42" s="122"/>
      <c r="AZ42" s="122"/>
      <c r="BA42" s="122"/>
      <c r="BB42" s="122"/>
      <c r="BC42" s="122"/>
      <c r="BD42" s="122"/>
      <c r="BE42" s="122"/>
      <c r="BF42" s="122"/>
      <c r="BG42" s="122"/>
      <c r="BH42" s="122"/>
      <c r="BI42" s="122"/>
    </row>
    <row r="43" spans="1:61" ht="15" customHeight="1">
      <c r="A43" s="122"/>
      <c r="B43" s="293"/>
      <c r="C43" s="224"/>
      <c r="D43" s="265"/>
      <c r="E43" s="223"/>
      <c r="F43" s="224"/>
      <c r="G43" s="224"/>
      <c r="H43" s="224"/>
      <c r="I43" s="224"/>
      <c r="J43" s="191" t="e">
        <f>IF(AND('Mapa de Riesgos de Corrupción'!#REF!="Baja",'Mapa de Riesgos de Corrupción'!#REF!="Leve"),CONCATENATE("R8C",'Mapa de Riesgos de Corrupción'!#REF!),"")</f>
        <v>#REF!</v>
      </c>
      <c r="K43" s="192" t="e">
        <f>IF(AND('Mapa de Riesgos de Corrupción'!#REF!="Baja",'Mapa de Riesgos de Corrupción'!#REF!="Leve"),CONCATENATE("R8C",'Mapa de Riesgos de Corrupción'!#REF!),"")</f>
        <v>#REF!</v>
      </c>
      <c r="L43" s="192" t="e">
        <f>IF(AND('Mapa de Riesgos de Corrupción'!#REF!="Baja",'Mapa de Riesgos de Corrupción'!#REF!="Leve"),CONCATENATE("R8C",'Mapa de Riesgos de Corrupción'!#REF!),"")</f>
        <v>#REF!</v>
      </c>
      <c r="M43" s="192" t="e">
        <f>IF(AND('Mapa de Riesgos de Corrupción'!#REF!="Baja",'Mapa de Riesgos de Corrupción'!#REF!="Leve"),CONCATENATE("R8C",'Mapa de Riesgos de Corrupción'!#REF!),"")</f>
        <v>#REF!</v>
      </c>
      <c r="N43" s="192" t="e">
        <f>IF(AND('Mapa de Riesgos de Corrupción'!#REF!="Baja",'Mapa de Riesgos de Corrupción'!#REF!="Leve"),CONCATENATE("R8C",'Mapa de Riesgos de Corrupción'!#REF!),"")</f>
        <v>#REF!</v>
      </c>
      <c r="O43" s="193" t="e">
        <f>IF(AND('Mapa de Riesgos de Corrupción'!#REF!="Baja",'Mapa de Riesgos de Corrupción'!#REF!="Leve"),CONCATENATE("R8C",'Mapa de Riesgos de Corrupción'!#REF!),"")</f>
        <v>#REF!</v>
      </c>
      <c r="P43" s="182" t="e">
        <f>IF(AND('Mapa de Riesgos de Corrupción'!#REF!="Baja",'Mapa de Riesgos de Corrupción'!#REF!="Menor"),CONCATENATE("R8C",'Mapa de Riesgos de Corrupción'!#REF!),"")</f>
        <v>#REF!</v>
      </c>
      <c r="Q43" s="183" t="e">
        <f>IF(AND('Mapa de Riesgos de Corrupción'!#REF!="Baja",'Mapa de Riesgos de Corrupción'!#REF!="Menor"),CONCATENATE("R8C",'Mapa de Riesgos de Corrupción'!#REF!),"")</f>
        <v>#REF!</v>
      </c>
      <c r="R43" s="183" t="e">
        <f>IF(AND('Mapa de Riesgos de Corrupción'!#REF!="Baja",'Mapa de Riesgos de Corrupción'!#REF!="Menor"),CONCATENATE("R8C",'Mapa de Riesgos de Corrupción'!#REF!),"")</f>
        <v>#REF!</v>
      </c>
      <c r="S43" s="183" t="e">
        <f>IF(AND('Mapa de Riesgos de Corrupción'!#REF!="Baja",'Mapa de Riesgos de Corrupción'!#REF!="Menor"),CONCATENATE("R8C",'Mapa de Riesgos de Corrupción'!#REF!),"")</f>
        <v>#REF!</v>
      </c>
      <c r="T43" s="183" t="e">
        <f>IF(AND('Mapa de Riesgos de Corrupción'!#REF!="Baja",'Mapa de Riesgos de Corrupción'!#REF!="Menor"),CONCATENATE("R8C",'Mapa de Riesgos de Corrupción'!#REF!),"")</f>
        <v>#REF!</v>
      </c>
      <c r="U43" s="184" t="e">
        <f>IF(AND('Mapa de Riesgos de Corrupción'!#REF!="Baja",'Mapa de Riesgos de Corrupción'!#REF!="Menor"),CONCATENATE("R8C",'Mapa de Riesgos de Corrupción'!#REF!),"")</f>
        <v>#REF!</v>
      </c>
      <c r="V43" s="182" t="e">
        <f>IF(AND('Mapa de Riesgos de Corrupción'!#REF!="Baja",'Mapa de Riesgos de Corrupción'!#REF!="Moderado"),CONCATENATE("R8C",'Mapa de Riesgos de Corrupción'!#REF!),"")</f>
        <v>#REF!</v>
      </c>
      <c r="W43" s="183" t="e">
        <f>IF(AND('Mapa de Riesgos de Corrupción'!#REF!="Baja",'Mapa de Riesgos de Corrupción'!#REF!="Moderado"),CONCATENATE("R8C",'Mapa de Riesgos de Corrupción'!#REF!),"")</f>
        <v>#REF!</v>
      </c>
      <c r="X43" s="183" t="e">
        <f>IF(AND('Mapa de Riesgos de Corrupción'!#REF!="Baja",'Mapa de Riesgos de Corrupción'!#REF!="Moderado"),CONCATENATE("R8C",'Mapa de Riesgos de Corrupción'!#REF!),"")</f>
        <v>#REF!</v>
      </c>
      <c r="Y43" s="183" t="e">
        <f>IF(AND('Mapa de Riesgos de Corrupción'!#REF!="Baja",'Mapa de Riesgos de Corrupción'!#REF!="Moderado"),CONCATENATE("R8C",'Mapa de Riesgos de Corrupción'!#REF!),"")</f>
        <v>#REF!</v>
      </c>
      <c r="Z43" s="183" t="e">
        <f>IF(AND('Mapa de Riesgos de Corrupción'!#REF!="Baja",'Mapa de Riesgos de Corrupción'!#REF!="Moderado"),CONCATENATE("R8C",'Mapa de Riesgos de Corrupción'!#REF!),"")</f>
        <v>#REF!</v>
      </c>
      <c r="AA43" s="184" t="e">
        <f>IF(AND('Mapa de Riesgos de Corrupción'!#REF!="Baja",'Mapa de Riesgos de Corrupción'!#REF!="Moderado"),CONCATENATE("R8C",'Mapa de Riesgos de Corrupción'!#REF!),"")</f>
        <v>#REF!</v>
      </c>
      <c r="AB43" s="167" t="e">
        <f>IF(AND('Mapa de Riesgos de Corrupción'!#REF!="Baja",'Mapa de Riesgos de Corrupción'!#REF!="Mayor"),CONCATENATE("R8C",'Mapa de Riesgos de Corrupción'!#REF!),"")</f>
        <v>#REF!</v>
      </c>
      <c r="AC43" s="168" t="e">
        <f>IF(AND('Mapa de Riesgos de Corrupción'!#REF!="Baja",'Mapa de Riesgos de Corrupción'!#REF!="Mayor"),CONCATENATE("R8C",'Mapa de Riesgos de Corrupción'!#REF!),"")</f>
        <v>#REF!</v>
      </c>
      <c r="AD43" s="168" t="e">
        <f>IF(AND('Mapa de Riesgos de Corrupción'!#REF!="Baja",'Mapa de Riesgos de Corrupción'!#REF!="Mayor"),CONCATENATE("R8C",'Mapa de Riesgos de Corrupción'!#REF!),"")</f>
        <v>#REF!</v>
      </c>
      <c r="AE43" s="168" t="e">
        <f>IF(AND('Mapa de Riesgos de Corrupción'!#REF!="Baja",'Mapa de Riesgos de Corrupción'!#REF!="Mayor"),CONCATENATE("R8C",'Mapa de Riesgos de Corrupción'!#REF!),"")</f>
        <v>#REF!</v>
      </c>
      <c r="AF43" s="168" t="e">
        <f>IF(AND('Mapa de Riesgos de Corrupción'!#REF!="Baja",'Mapa de Riesgos de Corrupción'!#REF!="Mayor"),CONCATENATE("R8C",'Mapa de Riesgos de Corrupción'!#REF!),"")</f>
        <v>#REF!</v>
      </c>
      <c r="AG43" s="169" t="e">
        <f>IF(AND('Mapa de Riesgos de Corrupción'!#REF!="Baja",'Mapa de Riesgos de Corrupción'!#REF!="Mayor"),CONCATENATE("R8C",'Mapa de Riesgos de Corrupción'!#REF!),"")</f>
        <v>#REF!</v>
      </c>
      <c r="AH43" s="170" t="e">
        <f>IF(AND('Mapa de Riesgos de Corrupción'!#REF!="Baja",'Mapa de Riesgos de Corrupción'!#REF!="Catastrófico"),CONCATENATE("R8C",'Mapa de Riesgos de Corrupción'!#REF!),"")</f>
        <v>#REF!</v>
      </c>
      <c r="AI43" s="171" t="e">
        <f>IF(AND('Mapa de Riesgos de Corrupción'!#REF!="Baja",'Mapa de Riesgos de Corrupción'!#REF!="Catastrófico"),CONCATENATE("R8C",'Mapa de Riesgos de Corrupción'!#REF!),"")</f>
        <v>#REF!</v>
      </c>
      <c r="AJ43" s="171" t="e">
        <f>IF(AND('Mapa de Riesgos de Corrupción'!#REF!="Baja",'Mapa de Riesgos de Corrupción'!#REF!="Catastrófico"),CONCATENATE("R8C",'Mapa de Riesgos de Corrupción'!#REF!),"")</f>
        <v>#REF!</v>
      </c>
      <c r="AK43" s="171" t="e">
        <f>IF(AND('Mapa de Riesgos de Corrupción'!#REF!="Baja",'Mapa de Riesgos de Corrupción'!#REF!="Catastrófico"),CONCATENATE("R8C",'Mapa de Riesgos de Corrupción'!#REF!),"")</f>
        <v>#REF!</v>
      </c>
      <c r="AL43" s="171" t="e">
        <f>IF(AND('Mapa de Riesgos de Corrupción'!#REF!="Baja",'Mapa de Riesgos de Corrupción'!#REF!="Catastrófico"),CONCATENATE("R8C",'Mapa de Riesgos de Corrupción'!#REF!),"")</f>
        <v>#REF!</v>
      </c>
      <c r="AM43" s="172" t="e">
        <f>IF(AND('Mapa de Riesgos de Corrupción'!#REF!="Baja",'Mapa de Riesgos de Corrupción'!#REF!="Catastrófico"),CONCATENATE("R8C",'Mapa de Riesgos de Corrupción'!#REF!),"")</f>
        <v>#REF!</v>
      </c>
      <c r="AN43" s="122"/>
      <c r="AO43" s="312"/>
      <c r="AP43" s="224"/>
      <c r="AQ43" s="224"/>
      <c r="AR43" s="224"/>
      <c r="AS43" s="224"/>
      <c r="AT43" s="313"/>
      <c r="AU43" s="122"/>
      <c r="AV43" s="122"/>
      <c r="AW43" s="122"/>
      <c r="AX43" s="122"/>
      <c r="AY43" s="122"/>
      <c r="AZ43" s="122"/>
      <c r="BA43" s="122"/>
      <c r="BB43" s="122"/>
      <c r="BC43" s="122"/>
      <c r="BD43" s="122"/>
      <c r="BE43" s="122"/>
      <c r="BF43" s="122"/>
      <c r="BG43" s="122"/>
      <c r="BH43" s="122"/>
      <c r="BI43" s="122"/>
    </row>
    <row r="44" spans="1:61" ht="15" customHeight="1">
      <c r="A44" s="122"/>
      <c r="B44" s="293"/>
      <c r="C44" s="224"/>
      <c r="D44" s="265"/>
      <c r="E44" s="223"/>
      <c r="F44" s="224"/>
      <c r="G44" s="224"/>
      <c r="H44" s="224"/>
      <c r="I44" s="224"/>
      <c r="J44" s="191" t="e">
        <f>IF(AND('Mapa de Riesgos de Corrupción'!#REF!="Baja",'Mapa de Riesgos de Corrupción'!#REF!="Leve"),CONCATENATE("R9C",'Mapa de Riesgos de Corrupción'!#REF!),"")</f>
        <v>#REF!</v>
      </c>
      <c r="K44" s="192" t="e">
        <f>IF(AND('Mapa de Riesgos de Corrupción'!#REF!="Baja",'Mapa de Riesgos de Corrupción'!#REF!="Leve"),CONCATENATE("R9C",'Mapa de Riesgos de Corrupción'!#REF!),"")</f>
        <v>#REF!</v>
      </c>
      <c r="L44" s="192" t="e">
        <f>IF(AND('Mapa de Riesgos de Corrupción'!#REF!="Baja",'Mapa de Riesgos de Corrupción'!#REF!="Leve"),CONCATENATE("R9C",'Mapa de Riesgos de Corrupción'!#REF!),"")</f>
        <v>#REF!</v>
      </c>
      <c r="M44" s="192" t="e">
        <f>IF(AND('Mapa de Riesgos de Corrupción'!#REF!="Baja",'Mapa de Riesgos de Corrupción'!#REF!="Leve"),CONCATENATE("R9C",'Mapa de Riesgos de Corrupción'!#REF!),"")</f>
        <v>#REF!</v>
      </c>
      <c r="N44" s="192" t="e">
        <f>IF(AND('Mapa de Riesgos de Corrupción'!#REF!="Baja",'Mapa de Riesgos de Corrupción'!#REF!="Leve"),CONCATENATE("R9C",'Mapa de Riesgos de Corrupción'!#REF!),"")</f>
        <v>#REF!</v>
      </c>
      <c r="O44" s="193" t="e">
        <f>IF(AND('Mapa de Riesgos de Corrupción'!#REF!="Baja",'Mapa de Riesgos de Corrupción'!#REF!="Leve"),CONCATENATE("R9C",'Mapa de Riesgos de Corrupción'!#REF!),"")</f>
        <v>#REF!</v>
      </c>
      <c r="P44" s="182" t="e">
        <f>IF(AND('Mapa de Riesgos de Corrupción'!#REF!="Baja",'Mapa de Riesgos de Corrupción'!#REF!="Menor"),CONCATENATE("R9C",'Mapa de Riesgos de Corrupción'!#REF!),"")</f>
        <v>#REF!</v>
      </c>
      <c r="Q44" s="183" t="e">
        <f>IF(AND('Mapa de Riesgos de Corrupción'!#REF!="Baja",'Mapa de Riesgos de Corrupción'!#REF!="Menor"),CONCATENATE("R9C",'Mapa de Riesgos de Corrupción'!#REF!),"")</f>
        <v>#REF!</v>
      </c>
      <c r="R44" s="183" t="e">
        <f>IF(AND('Mapa de Riesgos de Corrupción'!#REF!="Baja",'Mapa de Riesgos de Corrupción'!#REF!="Menor"),CONCATENATE("R9C",'Mapa de Riesgos de Corrupción'!#REF!),"")</f>
        <v>#REF!</v>
      </c>
      <c r="S44" s="183" t="e">
        <f>IF(AND('Mapa de Riesgos de Corrupción'!#REF!="Baja",'Mapa de Riesgos de Corrupción'!#REF!="Menor"),CONCATENATE("R9C",'Mapa de Riesgos de Corrupción'!#REF!),"")</f>
        <v>#REF!</v>
      </c>
      <c r="T44" s="183" t="e">
        <f>IF(AND('Mapa de Riesgos de Corrupción'!#REF!="Baja",'Mapa de Riesgos de Corrupción'!#REF!="Menor"),CONCATENATE("R9C",'Mapa de Riesgos de Corrupción'!#REF!),"")</f>
        <v>#REF!</v>
      </c>
      <c r="U44" s="184" t="e">
        <f>IF(AND('Mapa de Riesgos de Corrupción'!#REF!="Baja",'Mapa de Riesgos de Corrupción'!#REF!="Menor"),CONCATENATE("R9C",'Mapa de Riesgos de Corrupción'!#REF!),"")</f>
        <v>#REF!</v>
      </c>
      <c r="V44" s="182" t="e">
        <f>IF(AND('Mapa de Riesgos de Corrupción'!#REF!="Baja",'Mapa de Riesgos de Corrupción'!#REF!="Moderado"),CONCATENATE("R9C",'Mapa de Riesgos de Corrupción'!#REF!),"")</f>
        <v>#REF!</v>
      </c>
      <c r="W44" s="183" t="e">
        <f>IF(AND('Mapa de Riesgos de Corrupción'!#REF!="Baja",'Mapa de Riesgos de Corrupción'!#REF!="Moderado"),CONCATENATE("R9C",'Mapa de Riesgos de Corrupción'!#REF!),"")</f>
        <v>#REF!</v>
      </c>
      <c r="X44" s="183" t="e">
        <f>IF(AND('Mapa de Riesgos de Corrupción'!#REF!="Baja",'Mapa de Riesgos de Corrupción'!#REF!="Moderado"),CONCATENATE("R9C",'Mapa de Riesgos de Corrupción'!#REF!),"")</f>
        <v>#REF!</v>
      </c>
      <c r="Y44" s="183" t="e">
        <f>IF(AND('Mapa de Riesgos de Corrupción'!#REF!="Baja",'Mapa de Riesgos de Corrupción'!#REF!="Moderado"),CONCATENATE("R9C",'Mapa de Riesgos de Corrupción'!#REF!),"")</f>
        <v>#REF!</v>
      </c>
      <c r="Z44" s="183" t="e">
        <f>IF(AND('Mapa de Riesgos de Corrupción'!#REF!="Baja",'Mapa de Riesgos de Corrupción'!#REF!="Moderado"),CONCATENATE("R9C",'Mapa de Riesgos de Corrupción'!#REF!),"")</f>
        <v>#REF!</v>
      </c>
      <c r="AA44" s="184" t="e">
        <f>IF(AND('Mapa de Riesgos de Corrupción'!#REF!="Baja",'Mapa de Riesgos de Corrupción'!#REF!="Moderado"),CONCATENATE("R9C",'Mapa de Riesgos de Corrupción'!#REF!),"")</f>
        <v>#REF!</v>
      </c>
      <c r="AB44" s="167" t="e">
        <f>IF(AND('Mapa de Riesgos de Corrupción'!#REF!="Baja",'Mapa de Riesgos de Corrupción'!#REF!="Mayor"),CONCATENATE("R9C",'Mapa de Riesgos de Corrupción'!#REF!),"")</f>
        <v>#REF!</v>
      </c>
      <c r="AC44" s="168" t="e">
        <f>IF(AND('Mapa de Riesgos de Corrupción'!#REF!="Baja",'Mapa de Riesgos de Corrupción'!#REF!="Mayor"),CONCATENATE("R9C",'Mapa de Riesgos de Corrupción'!#REF!),"")</f>
        <v>#REF!</v>
      </c>
      <c r="AD44" s="168" t="e">
        <f>IF(AND('Mapa de Riesgos de Corrupción'!#REF!="Baja",'Mapa de Riesgos de Corrupción'!#REF!="Mayor"),CONCATENATE("R9C",'Mapa de Riesgos de Corrupción'!#REF!),"")</f>
        <v>#REF!</v>
      </c>
      <c r="AE44" s="168" t="e">
        <f>IF(AND('Mapa de Riesgos de Corrupción'!#REF!="Baja",'Mapa de Riesgos de Corrupción'!#REF!="Mayor"),CONCATENATE("R9C",'Mapa de Riesgos de Corrupción'!#REF!),"")</f>
        <v>#REF!</v>
      </c>
      <c r="AF44" s="168" t="e">
        <f>IF(AND('Mapa de Riesgos de Corrupción'!#REF!="Baja",'Mapa de Riesgos de Corrupción'!#REF!="Mayor"),CONCATENATE("R9C",'Mapa de Riesgos de Corrupción'!#REF!),"")</f>
        <v>#REF!</v>
      </c>
      <c r="AG44" s="169" t="e">
        <f>IF(AND('Mapa de Riesgos de Corrupción'!#REF!="Baja",'Mapa de Riesgos de Corrupción'!#REF!="Mayor"),CONCATENATE("R9C",'Mapa de Riesgos de Corrupción'!#REF!),"")</f>
        <v>#REF!</v>
      </c>
      <c r="AH44" s="170" t="e">
        <f>IF(AND('Mapa de Riesgos de Corrupción'!#REF!="Baja",'Mapa de Riesgos de Corrupción'!#REF!="Catastrófico"),CONCATENATE("R9C",'Mapa de Riesgos de Corrupción'!#REF!),"")</f>
        <v>#REF!</v>
      </c>
      <c r="AI44" s="171" t="e">
        <f>IF(AND('Mapa de Riesgos de Corrupción'!#REF!="Baja",'Mapa de Riesgos de Corrupción'!#REF!="Catastrófico"),CONCATENATE("R9C",'Mapa de Riesgos de Corrupción'!#REF!),"")</f>
        <v>#REF!</v>
      </c>
      <c r="AJ44" s="171" t="e">
        <f>IF(AND('Mapa de Riesgos de Corrupción'!#REF!="Baja",'Mapa de Riesgos de Corrupción'!#REF!="Catastrófico"),CONCATENATE("R9C",'Mapa de Riesgos de Corrupción'!#REF!),"")</f>
        <v>#REF!</v>
      </c>
      <c r="AK44" s="171" t="e">
        <f>IF(AND('Mapa de Riesgos de Corrupción'!#REF!="Baja",'Mapa de Riesgos de Corrupción'!#REF!="Catastrófico"),CONCATENATE("R9C",'Mapa de Riesgos de Corrupción'!#REF!),"")</f>
        <v>#REF!</v>
      </c>
      <c r="AL44" s="171" t="e">
        <f>IF(AND('Mapa de Riesgos de Corrupción'!#REF!="Baja",'Mapa de Riesgos de Corrupción'!#REF!="Catastrófico"),CONCATENATE("R9C",'Mapa de Riesgos de Corrupción'!#REF!),"")</f>
        <v>#REF!</v>
      </c>
      <c r="AM44" s="172" t="e">
        <f>IF(AND('Mapa de Riesgos de Corrupción'!#REF!="Baja",'Mapa de Riesgos de Corrupción'!#REF!="Catastrófico"),CONCATENATE("R9C",'Mapa de Riesgos de Corrupción'!#REF!),"")</f>
        <v>#REF!</v>
      </c>
      <c r="AN44" s="122"/>
      <c r="AO44" s="312"/>
      <c r="AP44" s="224"/>
      <c r="AQ44" s="224"/>
      <c r="AR44" s="224"/>
      <c r="AS44" s="224"/>
      <c r="AT44" s="313"/>
      <c r="AU44" s="122"/>
      <c r="AV44" s="122"/>
      <c r="AW44" s="122"/>
      <c r="AX44" s="122"/>
      <c r="AY44" s="122"/>
      <c r="AZ44" s="122"/>
      <c r="BA44" s="122"/>
      <c r="BB44" s="122"/>
      <c r="BC44" s="122"/>
      <c r="BD44" s="122"/>
      <c r="BE44" s="122"/>
      <c r="BF44" s="122"/>
      <c r="BG44" s="122"/>
      <c r="BH44" s="122"/>
      <c r="BI44" s="122"/>
    </row>
    <row r="45" spans="1:61" ht="15.75" customHeight="1">
      <c r="A45" s="122"/>
      <c r="B45" s="293"/>
      <c r="C45" s="224"/>
      <c r="D45" s="265"/>
      <c r="E45" s="225"/>
      <c r="F45" s="226"/>
      <c r="G45" s="226"/>
      <c r="H45" s="226"/>
      <c r="I45" s="226"/>
      <c r="J45" s="194" t="e">
        <f>IF(AND('Mapa de Riesgos de Corrupción'!#REF!="Baja",'Mapa de Riesgos de Corrupción'!#REF!="Leve"),CONCATENATE("R10C",'Mapa de Riesgos de Corrupción'!#REF!),"")</f>
        <v>#REF!</v>
      </c>
      <c r="K45" s="195" t="e">
        <f>IF(AND('Mapa de Riesgos de Corrupción'!#REF!="Baja",'Mapa de Riesgos de Corrupción'!#REF!="Leve"),CONCATENATE("R10C",'Mapa de Riesgos de Corrupción'!#REF!),"")</f>
        <v>#REF!</v>
      </c>
      <c r="L45" s="195" t="e">
        <f>IF(AND('Mapa de Riesgos de Corrupción'!#REF!="Baja",'Mapa de Riesgos de Corrupción'!#REF!="Leve"),CONCATENATE("R10C",'Mapa de Riesgos de Corrupción'!#REF!),"")</f>
        <v>#REF!</v>
      </c>
      <c r="M45" s="195" t="e">
        <f>IF(AND('Mapa de Riesgos de Corrupción'!#REF!="Baja",'Mapa de Riesgos de Corrupción'!#REF!="Leve"),CONCATENATE("R10C",'Mapa de Riesgos de Corrupción'!#REF!),"")</f>
        <v>#REF!</v>
      </c>
      <c r="N45" s="195" t="e">
        <f>IF(AND('Mapa de Riesgos de Corrupción'!#REF!="Baja",'Mapa de Riesgos de Corrupción'!#REF!="Leve"),CONCATENATE("R10C",'Mapa de Riesgos de Corrupción'!#REF!),"")</f>
        <v>#REF!</v>
      </c>
      <c r="O45" s="196" t="e">
        <f>IF(AND('Mapa de Riesgos de Corrupción'!#REF!="Baja",'Mapa de Riesgos de Corrupción'!#REF!="Leve"),CONCATENATE("R10C",'Mapa de Riesgos de Corrupción'!#REF!),"")</f>
        <v>#REF!</v>
      </c>
      <c r="P45" s="182" t="e">
        <f>IF(AND('Mapa de Riesgos de Corrupción'!#REF!="Baja",'Mapa de Riesgos de Corrupción'!#REF!="Menor"),CONCATENATE("R10C",'Mapa de Riesgos de Corrupción'!#REF!),"")</f>
        <v>#REF!</v>
      </c>
      <c r="Q45" s="183" t="e">
        <f>IF(AND('Mapa de Riesgos de Corrupción'!#REF!="Baja",'Mapa de Riesgos de Corrupción'!#REF!="Menor"),CONCATENATE("R10C",'Mapa de Riesgos de Corrupción'!#REF!),"")</f>
        <v>#REF!</v>
      </c>
      <c r="R45" s="183" t="e">
        <f>IF(AND('Mapa de Riesgos de Corrupción'!#REF!="Baja",'Mapa de Riesgos de Corrupción'!#REF!="Menor"),CONCATENATE("R10C",'Mapa de Riesgos de Corrupción'!#REF!),"")</f>
        <v>#REF!</v>
      </c>
      <c r="S45" s="183" t="e">
        <f>IF(AND('Mapa de Riesgos de Corrupción'!#REF!="Baja",'Mapa de Riesgos de Corrupción'!#REF!="Menor"),CONCATENATE("R10C",'Mapa de Riesgos de Corrupción'!#REF!),"")</f>
        <v>#REF!</v>
      </c>
      <c r="T45" s="183" t="e">
        <f>IF(AND('Mapa de Riesgos de Corrupción'!#REF!="Baja",'Mapa de Riesgos de Corrupción'!#REF!="Menor"),CONCATENATE("R10C",'Mapa de Riesgos de Corrupción'!#REF!),"")</f>
        <v>#REF!</v>
      </c>
      <c r="U45" s="184" t="e">
        <f>IF(AND('Mapa de Riesgos de Corrupción'!#REF!="Baja",'Mapa de Riesgos de Corrupción'!#REF!="Menor"),CONCATENATE("R10C",'Mapa de Riesgos de Corrupción'!#REF!),"")</f>
        <v>#REF!</v>
      </c>
      <c r="V45" s="185" t="e">
        <f>IF(AND('Mapa de Riesgos de Corrupción'!#REF!="Baja",'Mapa de Riesgos de Corrupción'!#REF!="Moderado"),CONCATENATE("R10C",'Mapa de Riesgos de Corrupción'!#REF!),"")</f>
        <v>#REF!</v>
      </c>
      <c r="W45" s="186" t="e">
        <f>IF(AND('Mapa de Riesgos de Corrupción'!#REF!="Baja",'Mapa de Riesgos de Corrupción'!#REF!="Moderado"),CONCATENATE("R10C",'Mapa de Riesgos de Corrupción'!#REF!),"")</f>
        <v>#REF!</v>
      </c>
      <c r="X45" s="186" t="e">
        <f>IF(AND('Mapa de Riesgos de Corrupción'!#REF!="Baja",'Mapa de Riesgos de Corrupción'!#REF!="Moderado"),CONCATENATE("R10C",'Mapa de Riesgos de Corrupción'!#REF!),"")</f>
        <v>#REF!</v>
      </c>
      <c r="Y45" s="186" t="e">
        <f>IF(AND('Mapa de Riesgos de Corrupción'!#REF!="Baja",'Mapa de Riesgos de Corrupción'!#REF!="Moderado"),CONCATENATE("R10C",'Mapa de Riesgos de Corrupción'!#REF!),"")</f>
        <v>#REF!</v>
      </c>
      <c r="Z45" s="186" t="e">
        <f>IF(AND('Mapa de Riesgos de Corrupción'!#REF!="Baja",'Mapa de Riesgos de Corrupción'!#REF!="Moderado"),CONCATENATE("R10C",'Mapa de Riesgos de Corrupción'!#REF!),"")</f>
        <v>#REF!</v>
      </c>
      <c r="AA45" s="187" t="e">
        <f>IF(AND('Mapa de Riesgos de Corrupción'!#REF!="Baja",'Mapa de Riesgos de Corrupción'!#REF!="Moderado"),CONCATENATE("R10C",'Mapa de Riesgos de Corrupción'!#REF!),"")</f>
        <v>#REF!</v>
      </c>
      <c r="AB45" s="173" t="e">
        <f>IF(AND('Mapa de Riesgos de Corrupción'!#REF!="Baja",'Mapa de Riesgos de Corrupción'!#REF!="Mayor"),CONCATENATE("R10C",'Mapa de Riesgos de Corrupción'!#REF!),"")</f>
        <v>#REF!</v>
      </c>
      <c r="AC45" s="174" t="e">
        <f>IF(AND('Mapa de Riesgos de Corrupción'!#REF!="Baja",'Mapa de Riesgos de Corrupción'!#REF!="Mayor"),CONCATENATE("R10C",'Mapa de Riesgos de Corrupción'!#REF!),"")</f>
        <v>#REF!</v>
      </c>
      <c r="AD45" s="174" t="e">
        <f>IF(AND('Mapa de Riesgos de Corrupción'!#REF!="Baja",'Mapa de Riesgos de Corrupción'!#REF!="Mayor"),CONCATENATE("R10C",'Mapa de Riesgos de Corrupción'!#REF!),"")</f>
        <v>#REF!</v>
      </c>
      <c r="AE45" s="174" t="e">
        <f>IF(AND('Mapa de Riesgos de Corrupción'!#REF!="Baja",'Mapa de Riesgos de Corrupción'!#REF!="Mayor"),CONCATENATE("R10C",'Mapa de Riesgos de Corrupción'!#REF!),"")</f>
        <v>#REF!</v>
      </c>
      <c r="AF45" s="174" t="e">
        <f>IF(AND('Mapa de Riesgos de Corrupción'!#REF!="Baja",'Mapa de Riesgos de Corrupción'!#REF!="Mayor"),CONCATENATE("R10C",'Mapa de Riesgos de Corrupción'!#REF!),"")</f>
        <v>#REF!</v>
      </c>
      <c r="AG45" s="175" t="e">
        <f>IF(AND('Mapa de Riesgos de Corrupción'!#REF!="Baja",'Mapa de Riesgos de Corrupción'!#REF!="Mayor"),CONCATENATE("R10C",'Mapa de Riesgos de Corrupción'!#REF!),"")</f>
        <v>#REF!</v>
      </c>
      <c r="AH45" s="176" t="e">
        <f>IF(AND('Mapa de Riesgos de Corrupción'!#REF!="Baja",'Mapa de Riesgos de Corrupción'!#REF!="Catastrófico"),CONCATENATE("R10C",'Mapa de Riesgos de Corrupción'!#REF!),"")</f>
        <v>#REF!</v>
      </c>
      <c r="AI45" s="177" t="e">
        <f>IF(AND('Mapa de Riesgos de Corrupción'!#REF!="Baja",'Mapa de Riesgos de Corrupción'!#REF!="Catastrófico"),CONCATENATE("R10C",'Mapa de Riesgos de Corrupción'!#REF!),"")</f>
        <v>#REF!</v>
      </c>
      <c r="AJ45" s="177" t="e">
        <f>IF(AND('Mapa de Riesgos de Corrupción'!#REF!="Baja",'Mapa de Riesgos de Corrupción'!#REF!="Catastrófico"),CONCATENATE("R10C",'Mapa de Riesgos de Corrupción'!#REF!),"")</f>
        <v>#REF!</v>
      </c>
      <c r="AK45" s="177" t="e">
        <f>IF(AND('Mapa de Riesgos de Corrupción'!#REF!="Baja",'Mapa de Riesgos de Corrupción'!#REF!="Catastrófico"),CONCATENATE("R10C",'Mapa de Riesgos de Corrupción'!#REF!),"")</f>
        <v>#REF!</v>
      </c>
      <c r="AL45" s="177" t="e">
        <f>IF(AND('Mapa de Riesgos de Corrupción'!#REF!="Baja",'Mapa de Riesgos de Corrupción'!#REF!="Catastrófico"),CONCATENATE("R10C",'Mapa de Riesgos de Corrupción'!#REF!),"")</f>
        <v>#REF!</v>
      </c>
      <c r="AM45" s="178" t="e">
        <f>IF(AND('Mapa de Riesgos de Corrupción'!#REF!="Baja",'Mapa de Riesgos de Corrupción'!#REF!="Catastrófico"),CONCATENATE("R10C",'Mapa de Riesgos de Corrupción'!#REF!),"")</f>
        <v>#REF!</v>
      </c>
      <c r="AN45" s="122"/>
      <c r="AO45" s="314"/>
      <c r="AP45" s="315"/>
      <c r="AQ45" s="315"/>
      <c r="AR45" s="315"/>
      <c r="AS45" s="315"/>
      <c r="AT45" s="316"/>
    </row>
    <row r="46" spans="1:61" ht="46.5" customHeight="1">
      <c r="A46" s="122"/>
      <c r="B46" s="293"/>
      <c r="C46" s="224"/>
      <c r="D46" s="265"/>
      <c r="E46" s="335" t="s">
        <v>508</v>
      </c>
      <c r="F46" s="222"/>
      <c r="G46" s="222"/>
      <c r="H46" s="222"/>
      <c r="I46" s="303"/>
      <c r="J46" s="188" t="e">
        <f>IF(AND('Mapa de Riesgos de Corrupción'!#REF!="Muy Baja",'Mapa de Riesgos de Corrupción'!#REF!="Leve"),CONCATENATE("R1C",'Mapa de Riesgos de Corrupción'!#REF!),"")</f>
        <v>#REF!</v>
      </c>
      <c r="K46" s="189" t="e">
        <f>IF(AND('Mapa de Riesgos de Corrupción'!#REF!="Muy Baja",'Mapa de Riesgos de Corrupción'!#REF!="Leve"),CONCATENATE("R1C",'Mapa de Riesgos de Corrupción'!#REF!),"")</f>
        <v>#REF!</v>
      </c>
      <c r="L46" s="189" t="e">
        <f>IF(AND('Mapa de Riesgos de Corrupción'!#REF!="Muy Baja",'Mapa de Riesgos de Corrupción'!#REF!="Leve"),CONCATENATE("R1C",'Mapa de Riesgos de Corrupción'!#REF!),"")</f>
        <v>#REF!</v>
      </c>
      <c r="M46" s="189" t="e">
        <f>IF(AND('Mapa de Riesgos de Corrupción'!#REF!="Muy Baja",'Mapa de Riesgos de Corrupción'!#REF!="Leve"),CONCATENATE("R1C",'Mapa de Riesgos de Corrupción'!#REF!),"")</f>
        <v>#REF!</v>
      </c>
      <c r="N46" s="189" t="str">
        <f ca="1">IF(AND('Mapa de Riesgos de Corrupción'!$AC$8="Muy Baja",'Mapa de Riesgos de Corrupción'!$AE$8="Leve"),CONCATENATE("R1C",'Mapa de Riesgos de Corrupción'!$R$8),"")</f>
        <v/>
      </c>
      <c r="O46" s="190" t="str">
        <f ca="1">IF(AND('Mapa de Riesgos de Corrupción'!$AC$9="Muy Baja",'Mapa de Riesgos de Corrupción'!$AE$9="Leve"),CONCATENATE("R1C",'Mapa de Riesgos de Corrupción'!$R$9),"")</f>
        <v/>
      </c>
      <c r="P46" s="188" t="e">
        <f>IF(AND('Mapa de Riesgos de Corrupción'!#REF!="Muy Baja",'Mapa de Riesgos de Corrupción'!#REF!="Menor"),CONCATENATE("R1C",'Mapa de Riesgos de Corrupción'!#REF!),"")</f>
        <v>#REF!</v>
      </c>
      <c r="Q46" s="189" t="e">
        <f>IF(AND('Mapa de Riesgos de Corrupción'!#REF!="Muy Baja",'Mapa de Riesgos de Corrupción'!#REF!="Menor"),CONCATENATE("R1C",'Mapa de Riesgos de Corrupción'!#REF!),"")</f>
        <v>#REF!</v>
      </c>
      <c r="R46" s="189" t="e">
        <f>IF(AND('Mapa de Riesgos de Corrupción'!#REF!="Muy Baja",'Mapa de Riesgos de Corrupción'!#REF!="Menor"),CONCATENATE("R1C",'Mapa de Riesgos de Corrupción'!#REF!),"")</f>
        <v>#REF!</v>
      </c>
      <c r="S46" s="189" t="e">
        <f>IF(AND('Mapa de Riesgos de Corrupción'!#REF!="Muy Baja",'Mapa de Riesgos de Corrupción'!#REF!="Menor"),CONCATENATE("R1C",'Mapa de Riesgos de Corrupción'!#REF!),"")</f>
        <v>#REF!</v>
      </c>
      <c r="T46" s="189" t="str">
        <f ca="1">IF(AND('Mapa de Riesgos de Corrupción'!$AC$8="Muy Baja",'Mapa de Riesgos de Corrupción'!$AE$8="Menor"),CONCATENATE("R1C",'Mapa de Riesgos de Corrupción'!$R$8),"")</f>
        <v/>
      </c>
      <c r="U46" s="190" t="str">
        <f ca="1">IF(AND('Mapa de Riesgos de Corrupción'!$AC$9="Muy Baja",'Mapa de Riesgos de Corrupción'!$AE$9="Menor"),CONCATENATE("R1C",'Mapa de Riesgos de Corrupción'!$R$9),"")</f>
        <v/>
      </c>
      <c r="V46" s="179" t="e">
        <f>IF(AND('Mapa de Riesgos de Corrupción'!#REF!="Muy Baja",'Mapa de Riesgos de Corrupción'!#REF!="Moderado"),CONCATENATE("R1C",'Mapa de Riesgos de Corrupción'!#REF!),"")</f>
        <v>#REF!</v>
      </c>
      <c r="W46" s="197" t="e">
        <f>IF(AND('Mapa de Riesgos de Corrupción'!#REF!="Muy Baja",'Mapa de Riesgos de Corrupción'!#REF!="Moderado"),CONCATENATE("R1C",'Mapa de Riesgos de Corrupción'!#REF!),"")</f>
        <v>#REF!</v>
      </c>
      <c r="X46" s="180" t="e">
        <f>IF(AND('Mapa de Riesgos de Corrupción'!#REF!="Muy Baja",'Mapa de Riesgos de Corrupción'!#REF!="Moderado"),CONCATENATE("R1C",'Mapa de Riesgos de Corrupción'!#REF!),"")</f>
        <v>#REF!</v>
      </c>
      <c r="Y46" s="180" t="e">
        <f>IF(AND('Mapa de Riesgos de Corrupción'!#REF!="Muy Baja",'Mapa de Riesgos de Corrupción'!#REF!="Moderado"),CONCATENATE("R1C",'Mapa de Riesgos de Corrupción'!#REF!),"")</f>
        <v>#REF!</v>
      </c>
      <c r="Z46" s="180" t="str">
        <f ca="1">IF(AND('Mapa de Riesgos de Corrupción'!$AC$8="Muy Baja",'Mapa de Riesgos de Corrupción'!$AE$8="Moderado"),CONCATENATE("R1C",'Mapa de Riesgos de Corrupción'!$R$8),"")</f>
        <v/>
      </c>
      <c r="AA46" s="181" t="str">
        <f ca="1">IF(AND('Mapa de Riesgos de Corrupción'!$AC$9="Muy Baja",'Mapa de Riesgos de Corrupción'!$AE$9="Moderado"),CONCATENATE("R1C",'Mapa de Riesgos de Corrupción'!$R$9),"")</f>
        <v/>
      </c>
      <c r="AB46" s="161" t="e">
        <f>IF(AND('Mapa de Riesgos de Corrupción'!#REF!="Muy Baja",'Mapa de Riesgos de Corrupción'!#REF!="Mayor"),CONCATENATE("R1C",'Mapa de Riesgos de Corrupción'!#REF!),"")</f>
        <v>#REF!</v>
      </c>
      <c r="AC46" s="162" t="e">
        <f>IF(AND('Mapa de Riesgos de Corrupción'!#REF!="Muy Baja",'Mapa de Riesgos de Corrupción'!#REF!="Mayor"),CONCATENATE("R1C",'Mapa de Riesgos de Corrupción'!#REF!),"")</f>
        <v>#REF!</v>
      </c>
      <c r="AD46" s="162" t="e">
        <f>IF(AND('Mapa de Riesgos de Corrupción'!#REF!="Muy Baja",'Mapa de Riesgos de Corrupción'!#REF!="Mayor"),CONCATENATE("R1C",'Mapa de Riesgos de Corrupción'!#REF!),"")</f>
        <v>#REF!</v>
      </c>
      <c r="AE46" s="162" t="e">
        <f>IF(AND('Mapa de Riesgos de Corrupción'!#REF!="Muy Baja",'Mapa de Riesgos de Corrupción'!#REF!="Mayor"),CONCATENATE("R1C",'Mapa de Riesgos de Corrupción'!#REF!),"")</f>
        <v>#REF!</v>
      </c>
      <c r="AF46" s="162" t="str">
        <f ca="1">IF(AND('Mapa de Riesgos de Corrupción'!$AC$8="Muy Baja",'Mapa de Riesgos de Corrupción'!$AE$8="Mayor"),CONCATENATE("R1C",'Mapa de Riesgos de Corrupción'!$R$8),"")</f>
        <v/>
      </c>
      <c r="AG46" s="163" t="str">
        <f ca="1">IF(AND('Mapa de Riesgos de Corrupción'!$AC$9="Muy Baja",'Mapa de Riesgos de Corrupción'!$AE$9="Mayor"),CONCATENATE("R1C",'Mapa de Riesgos de Corrupción'!$R$9),"")</f>
        <v/>
      </c>
      <c r="AH46" s="164" t="e">
        <f>IF(AND('Mapa de Riesgos de Corrupción'!#REF!="Muy Baja",'Mapa de Riesgos de Corrupción'!#REF!="Catastrófico"),CONCATENATE("R1C",'Mapa de Riesgos de Corrupción'!#REF!),"")</f>
        <v>#REF!</v>
      </c>
      <c r="AI46" s="165" t="e">
        <f>IF(AND('Mapa de Riesgos de Corrupción'!#REF!="Muy Baja",'Mapa de Riesgos de Corrupción'!#REF!="Catastrófico"),CONCATENATE("R1C",'Mapa de Riesgos de Corrupción'!#REF!),"")</f>
        <v>#REF!</v>
      </c>
      <c r="AJ46" s="165" t="e">
        <f>IF(AND('Mapa de Riesgos de Corrupción'!#REF!="Muy Baja",'Mapa de Riesgos de Corrupción'!#REF!="Catastrófico"),CONCATENATE("R1C",'Mapa de Riesgos de Corrupción'!#REF!),"")</f>
        <v>#REF!</v>
      </c>
      <c r="AK46" s="165" t="e">
        <f>IF(AND('Mapa de Riesgos de Corrupción'!#REF!="Muy Baja",'Mapa de Riesgos de Corrupción'!#REF!="Catastrófico"),CONCATENATE("R1C",'Mapa de Riesgos de Corrupción'!#REF!),"")</f>
        <v>#REF!</v>
      </c>
      <c r="AL46" s="165" t="str">
        <f ca="1">IF(AND('Mapa de Riesgos de Corrupción'!$AC$8="Muy Baja",'Mapa de Riesgos de Corrupción'!$AE$8="Catastrófico"),CONCATENATE("R1C",'Mapa de Riesgos de Corrupción'!$R$8),"")</f>
        <v/>
      </c>
      <c r="AM46" s="166" t="str">
        <f ca="1">IF(AND('Mapa de Riesgos de Corrupción'!$AC$9="Muy Baja",'Mapa de Riesgos de Corrupción'!$AE$9="Catastrófico"),CONCATENATE("R1C",'Mapa de Riesgos de Corrupción'!$R$9),"")</f>
        <v/>
      </c>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row>
    <row r="47" spans="1:61" ht="46.5" customHeight="1">
      <c r="A47" s="122"/>
      <c r="B47" s="293"/>
      <c r="C47" s="224"/>
      <c r="D47" s="265"/>
      <c r="E47" s="223"/>
      <c r="F47" s="224"/>
      <c r="G47" s="224"/>
      <c r="H47" s="224"/>
      <c r="I47" s="265"/>
      <c r="J47" s="191" t="e">
        <f>IF(AND('Mapa de Riesgos de Corrupción'!#REF!="Muy Baja",'Mapa de Riesgos de Corrupción'!#REF!="Leve"),CONCATENATE("R2C",'Mapa de Riesgos de Corrupción'!#REF!),"")</f>
        <v>#REF!</v>
      </c>
      <c r="K47" s="192" t="e">
        <f>IF(AND('Mapa de Riesgos de Corrupción'!#REF!="Muy Baja",'Mapa de Riesgos de Corrupción'!#REF!="Leve"),CONCATENATE("R2C",'Mapa de Riesgos de Corrupción'!#REF!),"")</f>
        <v>#REF!</v>
      </c>
      <c r="L47" s="192" t="e">
        <f>IF(AND('Mapa de Riesgos de Corrupción'!#REF!="Muy Baja",'Mapa de Riesgos de Corrupción'!#REF!="Leve"),CONCATENATE("R2C",'Mapa de Riesgos de Corrupción'!#REF!),"")</f>
        <v>#REF!</v>
      </c>
      <c r="M47" s="192" t="e">
        <f>IF(AND('Mapa de Riesgos de Corrupción'!#REF!="Muy Baja",'Mapa de Riesgos de Corrupción'!#REF!="Leve"),CONCATENATE("R2C",'Mapa de Riesgos de Corrupción'!#REF!),"")</f>
        <v>#REF!</v>
      </c>
      <c r="N47" s="192" t="e">
        <f>IF(AND('Mapa de Riesgos de Corrupción'!#REF!="Muy Baja",'Mapa de Riesgos de Corrupción'!#REF!="Leve"),CONCATENATE("R2C",'Mapa de Riesgos de Corrupción'!#REF!),"")</f>
        <v>#REF!</v>
      </c>
      <c r="O47" s="193" t="str">
        <f ca="1">IF(AND('Mapa de Riesgos de Corrupción'!$AC$10="Muy Baja",'Mapa de Riesgos de Corrupción'!$AE$10="Leve"),CONCATENATE("R2C",'Mapa de Riesgos de Corrupción'!$R$10),"")</f>
        <v/>
      </c>
      <c r="P47" s="191" t="e">
        <f>IF(AND('Mapa de Riesgos de Corrupción'!#REF!="Muy Baja",'Mapa de Riesgos de Corrupción'!#REF!="Menor"),CONCATENATE("R2C",'Mapa de Riesgos de Corrupción'!#REF!),"")</f>
        <v>#REF!</v>
      </c>
      <c r="Q47" s="192" t="e">
        <f>IF(AND('Mapa de Riesgos de Corrupción'!#REF!="Muy Baja",'Mapa de Riesgos de Corrupción'!#REF!="Menor"),CONCATENATE("R2C",'Mapa de Riesgos de Corrupción'!#REF!),"")</f>
        <v>#REF!</v>
      </c>
      <c r="R47" s="192" t="e">
        <f>IF(AND('Mapa de Riesgos de Corrupción'!#REF!="Muy Baja",'Mapa de Riesgos de Corrupción'!#REF!="Menor"),CONCATENATE("R2C",'Mapa de Riesgos de Corrupción'!#REF!),"")</f>
        <v>#REF!</v>
      </c>
      <c r="S47" s="192" t="e">
        <f>IF(AND('Mapa de Riesgos de Corrupción'!#REF!="Muy Baja",'Mapa de Riesgos de Corrupción'!#REF!="Menor"),CONCATENATE("R2C",'Mapa de Riesgos de Corrupción'!#REF!),"")</f>
        <v>#REF!</v>
      </c>
      <c r="T47" s="192" t="e">
        <f>IF(AND('Mapa de Riesgos de Corrupción'!#REF!="Muy Baja",'Mapa de Riesgos de Corrupción'!#REF!="Menor"),CONCATENATE("R2C",'Mapa de Riesgos de Corrupción'!#REF!),"")</f>
        <v>#REF!</v>
      </c>
      <c r="U47" s="193" t="str">
        <f ca="1">IF(AND('Mapa de Riesgos de Corrupción'!$AC$10="Muy Baja",'Mapa de Riesgos de Corrupción'!$AE$10="Menor"),CONCATENATE("R2C",'Mapa de Riesgos de Corrupción'!$R$10),"")</f>
        <v/>
      </c>
      <c r="V47" s="182" t="e">
        <f>IF(AND('Mapa de Riesgos de Corrupción'!#REF!="Muy Baja",'Mapa de Riesgos de Corrupción'!#REF!="Moderado"),CONCATENATE("R2C",'Mapa de Riesgos de Corrupción'!#REF!),"")</f>
        <v>#REF!</v>
      </c>
      <c r="W47" s="183" t="e">
        <f>IF(AND('Mapa de Riesgos de Corrupción'!#REF!="Muy Baja",'Mapa de Riesgos de Corrupción'!#REF!="Moderado"),CONCATENATE("R2C",'Mapa de Riesgos de Corrupción'!#REF!),"")</f>
        <v>#REF!</v>
      </c>
      <c r="X47" s="183" t="e">
        <f>IF(AND('Mapa de Riesgos de Corrupción'!#REF!="Muy Baja",'Mapa de Riesgos de Corrupción'!#REF!="Moderado"),CONCATENATE("R2C",'Mapa de Riesgos de Corrupción'!#REF!),"")</f>
        <v>#REF!</v>
      </c>
      <c r="Y47" s="183" t="e">
        <f>IF(AND('Mapa de Riesgos de Corrupción'!#REF!="Muy Baja",'Mapa de Riesgos de Corrupción'!#REF!="Moderado"),CONCATENATE("R2C",'Mapa de Riesgos de Corrupción'!#REF!),"")</f>
        <v>#REF!</v>
      </c>
      <c r="Z47" s="183" t="e">
        <f>IF(AND('Mapa de Riesgos de Corrupción'!#REF!="Muy Baja",'Mapa de Riesgos de Corrupción'!#REF!="Moderado"),CONCATENATE("R2C",'Mapa de Riesgos de Corrupción'!#REF!),"")</f>
        <v>#REF!</v>
      </c>
      <c r="AA47" s="184" t="str">
        <f ca="1">IF(AND('Mapa de Riesgos de Corrupción'!$AC$10="Muy Baja",'Mapa de Riesgos de Corrupción'!$AE$10="Moderado"),CONCATENATE("R2C",'Mapa de Riesgos de Corrupción'!$R$10),"")</f>
        <v/>
      </c>
      <c r="AB47" s="167" t="e">
        <f>IF(AND('Mapa de Riesgos de Corrupción'!#REF!="Muy Baja",'Mapa de Riesgos de Corrupción'!#REF!="Mayor"),CONCATENATE("R2C",'Mapa de Riesgos de Corrupción'!#REF!),"")</f>
        <v>#REF!</v>
      </c>
      <c r="AC47" s="168" t="e">
        <f>IF(AND('Mapa de Riesgos de Corrupción'!#REF!="Muy Baja",'Mapa de Riesgos de Corrupción'!#REF!="Mayor"),CONCATENATE("R2C",'Mapa de Riesgos de Corrupción'!#REF!),"")</f>
        <v>#REF!</v>
      </c>
      <c r="AD47" s="168" t="e">
        <f>IF(AND('Mapa de Riesgos de Corrupción'!#REF!="Muy Baja",'Mapa de Riesgos de Corrupción'!#REF!="Mayor"),CONCATENATE("R2C",'Mapa de Riesgos de Corrupción'!#REF!),"")</f>
        <v>#REF!</v>
      </c>
      <c r="AE47" s="168" t="e">
        <f>IF(AND('Mapa de Riesgos de Corrupción'!#REF!="Muy Baja",'Mapa de Riesgos de Corrupción'!#REF!="Mayor"),CONCATENATE("R2C",'Mapa de Riesgos de Corrupción'!#REF!),"")</f>
        <v>#REF!</v>
      </c>
      <c r="AF47" s="168" t="e">
        <f>IF(AND('Mapa de Riesgos de Corrupción'!#REF!="Muy Baja",'Mapa de Riesgos de Corrupción'!#REF!="Mayor"),CONCATENATE("R2C",'Mapa de Riesgos de Corrupción'!#REF!),"")</f>
        <v>#REF!</v>
      </c>
      <c r="AG47" s="169" t="str">
        <f ca="1">IF(AND('Mapa de Riesgos de Corrupción'!$AC$10="Muy Baja",'Mapa de Riesgos de Corrupción'!$AE$10="Mayor"),CONCATENATE("R2C",'Mapa de Riesgos de Corrupción'!$R$10),"")</f>
        <v/>
      </c>
      <c r="AH47" s="170" t="e">
        <f>IF(AND('Mapa de Riesgos de Corrupción'!#REF!="Muy Baja",'Mapa de Riesgos de Corrupción'!#REF!="Catastrófico"),CONCATENATE("R2C",'Mapa de Riesgos de Corrupción'!#REF!),"")</f>
        <v>#REF!</v>
      </c>
      <c r="AI47" s="171" t="e">
        <f>IF(AND('Mapa de Riesgos de Corrupción'!#REF!="Muy Baja",'Mapa de Riesgos de Corrupción'!#REF!="Catastrófico"),CONCATENATE("R2C",'Mapa de Riesgos de Corrupción'!#REF!),"")</f>
        <v>#REF!</v>
      </c>
      <c r="AJ47" s="171" t="e">
        <f>IF(AND('Mapa de Riesgos de Corrupción'!#REF!="Muy Baja",'Mapa de Riesgos de Corrupción'!#REF!="Catastrófico"),CONCATENATE("R2C",'Mapa de Riesgos de Corrupción'!#REF!),"")</f>
        <v>#REF!</v>
      </c>
      <c r="AK47" s="171" t="e">
        <f>IF(AND('Mapa de Riesgos de Corrupción'!#REF!="Muy Baja",'Mapa de Riesgos de Corrupción'!#REF!="Catastrófico"),CONCATENATE("R2C",'Mapa de Riesgos de Corrupción'!#REF!),"")</f>
        <v>#REF!</v>
      </c>
      <c r="AL47" s="171" t="e">
        <f>IF(AND('Mapa de Riesgos de Corrupción'!#REF!="Muy Baja",'Mapa de Riesgos de Corrupción'!#REF!="Catastrófico"),CONCATENATE("R2C",'Mapa de Riesgos de Corrupción'!#REF!),"")</f>
        <v>#REF!</v>
      </c>
      <c r="AM47" s="172" t="str">
        <f ca="1">IF(AND('Mapa de Riesgos de Corrupción'!$AC$10="Muy Baja",'Mapa de Riesgos de Corrupción'!$AE$10="Catastrófico"),CONCATENATE("R2C",'Mapa de Riesgos de Corrupción'!$R$10),"")</f>
        <v/>
      </c>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row>
    <row r="48" spans="1:61" ht="15" customHeight="1">
      <c r="A48" s="122"/>
      <c r="B48" s="293"/>
      <c r="C48" s="224"/>
      <c r="D48" s="265"/>
      <c r="E48" s="223"/>
      <c r="F48" s="224"/>
      <c r="G48" s="224"/>
      <c r="H48" s="224"/>
      <c r="I48" s="265"/>
      <c r="J48" s="191" t="e">
        <f>IF(AND('Mapa de Riesgos de Corrupción'!#REF!="Muy Baja",'Mapa de Riesgos de Corrupción'!#REF!="Leve"),CONCATENATE("R3C",'Mapa de Riesgos de Corrupción'!#REF!),"")</f>
        <v>#REF!</v>
      </c>
      <c r="K48" s="192" t="str">
        <f ca="1">IF(AND('Mapa de Riesgos de Corrupción'!$AC$11="Muy Baja",'Mapa de Riesgos de Corrupción'!$AE$11="Leve"),CONCATENATE("R3C",'Mapa de Riesgos de Corrupción'!$R$11),"")</f>
        <v/>
      </c>
      <c r="L48" s="192" t="e">
        <f>IF(AND('Mapa de Riesgos de Corrupción'!#REF!="Muy Baja",'Mapa de Riesgos de Corrupción'!#REF!="Leve"),CONCATENATE("R3C",'Mapa de Riesgos de Corrupción'!#REF!),"")</f>
        <v>#REF!</v>
      </c>
      <c r="M48" s="192" t="str">
        <f ca="1">IF(AND('Mapa de Riesgos de Corrupción'!$AC$12="Muy Baja",'Mapa de Riesgos de Corrupción'!$AE$12="Leve"),CONCATENATE("R3C",'Mapa de Riesgos de Corrupción'!$R$12),"")</f>
        <v/>
      </c>
      <c r="N48" s="192" t="e">
        <f>IF(AND('Mapa de Riesgos de Corrupción'!#REF!="Muy Baja",'Mapa de Riesgos de Corrupción'!#REF!="Leve"),CONCATENATE("R3C",'Mapa de Riesgos de Corrupción'!#REF!),"")</f>
        <v>#REF!</v>
      </c>
      <c r="O48" s="193" t="e">
        <f>IF(AND('Mapa de Riesgos de Corrupción'!#REF!="Muy Baja",'Mapa de Riesgos de Corrupción'!#REF!="Leve"),CONCATENATE("R3C",'Mapa de Riesgos de Corrupción'!#REF!),"")</f>
        <v>#REF!</v>
      </c>
      <c r="P48" s="191" t="e">
        <f>IF(AND('Mapa de Riesgos de Corrupción'!#REF!="Muy Baja",'Mapa de Riesgos de Corrupción'!#REF!="Menor"),CONCATENATE("R3C",'Mapa de Riesgos de Corrupción'!#REF!),"")</f>
        <v>#REF!</v>
      </c>
      <c r="Q48" s="192" t="str">
        <f ca="1">IF(AND('Mapa de Riesgos de Corrupción'!$AC$11="Muy Baja",'Mapa de Riesgos de Corrupción'!$AE$11="Menor"),CONCATENATE("R3C",'Mapa de Riesgos de Corrupción'!$R$11),"")</f>
        <v/>
      </c>
      <c r="R48" s="192" t="e">
        <f>IF(AND('Mapa de Riesgos de Corrupción'!#REF!="Muy Baja",'Mapa de Riesgos de Corrupción'!#REF!="Menor"),CONCATENATE("R3C",'Mapa de Riesgos de Corrupción'!#REF!),"")</f>
        <v>#REF!</v>
      </c>
      <c r="S48" s="192" t="str">
        <f ca="1">IF(AND('Mapa de Riesgos de Corrupción'!$AC$12="Muy Baja",'Mapa de Riesgos de Corrupción'!$AE$12="Menor"),CONCATENATE("R3C",'Mapa de Riesgos de Corrupción'!$R$12),"")</f>
        <v/>
      </c>
      <c r="T48" s="192" t="e">
        <f>IF(AND('Mapa de Riesgos de Corrupción'!#REF!="Muy Baja",'Mapa de Riesgos de Corrupción'!#REF!="Menor"),CONCATENATE("R3C",'Mapa de Riesgos de Corrupción'!#REF!),"")</f>
        <v>#REF!</v>
      </c>
      <c r="U48" s="193" t="e">
        <f>IF(AND('Mapa de Riesgos de Corrupción'!#REF!="Muy Baja",'Mapa de Riesgos de Corrupción'!#REF!="Menor"),CONCATENATE("R3C",'Mapa de Riesgos de Corrupción'!#REF!),"")</f>
        <v>#REF!</v>
      </c>
      <c r="V48" s="182" t="e">
        <f>IF(AND('Mapa de Riesgos de Corrupción'!#REF!="Muy Baja",'Mapa de Riesgos de Corrupción'!#REF!="Moderado"),CONCATENATE("R3C",'Mapa de Riesgos de Corrupción'!#REF!),"")</f>
        <v>#REF!</v>
      </c>
      <c r="W48" s="183" t="str">
        <f ca="1">IF(AND('Mapa de Riesgos de Corrupción'!$AC$11="Muy Baja",'Mapa de Riesgos de Corrupción'!$AE$11="Moderado"),CONCATENATE("R3C",'Mapa de Riesgos de Corrupción'!$R$11),"")</f>
        <v/>
      </c>
      <c r="X48" s="183" t="e">
        <f>IF(AND('Mapa de Riesgos de Corrupción'!#REF!="Muy Baja",'Mapa de Riesgos de Corrupción'!#REF!="Moderado"),CONCATENATE("R3C",'Mapa de Riesgos de Corrupción'!#REF!),"")</f>
        <v>#REF!</v>
      </c>
      <c r="Y48" s="183" t="str">
        <f ca="1">IF(AND('Mapa de Riesgos de Corrupción'!$AC$12="Muy Baja",'Mapa de Riesgos de Corrupción'!$AE$12="Moderado"),CONCATENATE("R3C",'Mapa de Riesgos de Corrupción'!$R$12),"")</f>
        <v/>
      </c>
      <c r="Z48" s="183" t="e">
        <f>IF(AND('Mapa de Riesgos de Corrupción'!#REF!="Muy Baja",'Mapa de Riesgos de Corrupción'!#REF!="Moderado"),CONCATENATE("R3C",'Mapa de Riesgos de Corrupción'!#REF!),"")</f>
        <v>#REF!</v>
      </c>
      <c r="AA48" s="184" t="e">
        <f>IF(AND('Mapa de Riesgos de Corrupción'!#REF!="Muy Baja",'Mapa de Riesgos de Corrupción'!#REF!="Moderado"),CONCATENATE("R3C",'Mapa de Riesgos de Corrupción'!#REF!),"")</f>
        <v>#REF!</v>
      </c>
      <c r="AB48" s="167" t="e">
        <f>IF(AND('Mapa de Riesgos de Corrupción'!#REF!="Muy Baja",'Mapa de Riesgos de Corrupción'!#REF!="Mayor"),CONCATENATE("R3C",'Mapa de Riesgos de Corrupción'!#REF!),"")</f>
        <v>#REF!</v>
      </c>
      <c r="AC48" s="168" t="str">
        <f ca="1">IF(AND('Mapa de Riesgos de Corrupción'!$AC$11="Muy Baja",'Mapa de Riesgos de Corrupción'!$AE$11="Mayor"),CONCATENATE("R3C",'Mapa de Riesgos de Corrupción'!$R$11),"")</f>
        <v/>
      </c>
      <c r="AD48" s="168" t="e">
        <f>IF(AND('Mapa de Riesgos de Corrupción'!#REF!="Muy Baja",'Mapa de Riesgos de Corrupción'!#REF!="Mayor"),CONCATENATE("R3C",'Mapa de Riesgos de Corrupción'!#REF!),"")</f>
        <v>#REF!</v>
      </c>
      <c r="AE48" s="168" t="str">
        <f ca="1">IF(AND('Mapa de Riesgos de Corrupción'!$AC$12="Muy Baja",'Mapa de Riesgos de Corrupción'!$AE$12="Mayor"),CONCATENATE("R3C",'Mapa de Riesgos de Corrupción'!$R$12),"")</f>
        <v/>
      </c>
      <c r="AF48" s="168" t="e">
        <f>IF(AND('Mapa de Riesgos de Corrupción'!#REF!="Muy Baja",'Mapa de Riesgos de Corrupción'!#REF!="Mayor"),CONCATENATE("R3C",'Mapa de Riesgos de Corrupción'!#REF!),"")</f>
        <v>#REF!</v>
      </c>
      <c r="AG48" s="169" t="e">
        <f>IF(AND('Mapa de Riesgos de Corrupción'!#REF!="Muy Baja",'Mapa de Riesgos de Corrupción'!#REF!="Mayor"),CONCATENATE("R3C",'Mapa de Riesgos de Corrupción'!#REF!),"")</f>
        <v>#REF!</v>
      </c>
      <c r="AH48" s="170" t="e">
        <f>IF(AND('Mapa de Riesgos de Corrupción'!#REF!="Muy Baja",'Mapa de Riesgos de Corrupción'!#REF!="Catastrófico"),CONCATENATE("R3C",'Mapa de Riesgos de Corrupción'!#REF!),"")</f>
        <v>#REF!</v>
      </c>
      <c r="AI48" s="171" t="str">
        <f ca="1">IF(AND('Mapa de Riesgos de Corrupción'!$AC$11="Muy Baja",'Mapa de Riesgos de Corrupción'!$AE$11="Catastrófico"),CONCATENATE("R3C",'Mapa de Riesgos de Corrupción'!$R$11),"")</f>
        <v/>
      </c>
      <c r="AJ48" s="171" t="e">
        <f>IF(AND('Mapa de Riesgos de Corrupción'!#REF!="Muy Baja",'Mapa de Riesgos de Corrupción'!#REF!="Catastrófico"),CONCATENATE("R3C",'Mapa de Riesgos de Corrupción'!#REF!),"")</f>
        <v>#REF!</v>
      </c>
      <c r="AK48" s="171" t="str">
        <f ca="1">IF(AND('Mapa de Riesgos de Corrupción'!$AC$12="Muy Baja",'Mapa de Riesgos de Corrupción'!$AE$12="Catastrófico"),CONCATENATE("R3C",'Mapa de Riesgos de Corrupción'!$R$12),"")</f>
        <v/>
      </c>
      <c r="AL48" s="171" t="e">
        <f>IF(AND('Mapa de Riesgos de Corrupción'!#REF!="Muy Baja",'Mapa de Riesgos de Corrupción'!#REF!="Catastrófico"),CONCATENATE("R3C",'Mapa de Riesgos de Corrupción'!#REF!),"")</f>
        <v>#REF!</v>
      </c>
      <c r="AM48" s="172" t="e">
        <f>IF(AND('Mapa de Riesgos de Corrupción'!#REF!="Muy Baja",'Mapa de Riesgos de Corrupción'!#REF!="Catastrófico"),CONCATENATE("R3C",'Mapa de Riesgos de Corrupción'!#REF!),"")</f>
        <v>#REF!</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row>
    <row r="49" spans="1:61" ht="15" customHeight="1">
      <c r="A49" s="122"/>
      <c r="B49" s="293"/>
      <c r="C49" s="224"/>
      <c r="D49" s="265"/>
      <c r="E49" s="223"/>
      <c r="F49" s="224"/>
      <c r="G49" s="224"/>
      <c r="H49" s="224"/>
      <c r="I49" s="265"/>
      <c r="J49" s="191" t="str">
        <f ca="1">IF(AND('Mapa de Riesgos de Corrupción'!$AC$13="Muy Baja",'Mapa de Riesgos de Corrupción'!$AE$13="Leve"),CONCATENATE("R4C",'Mapa de Riesgos de Corrupción'!$R$13),"")</f>
        <v/>
      </c>
      <c r="K49" s="192" t="e">
        <f>IF(AND('Mapa de Riesgos de Corrupción'!#REF!="Muy Baja",'Mapa de Riesgos de Corrupción'!#REF!="Leve"),CONCATENATE("R4C",'Mapa de Riesgos de Corrupción'!#REF!),"")</f>
        <v>#REF!</v>
      </c>
      <c r="L49" s="192" t="str">
        <f ca="1">IF(AND('Mapa de Riesgos de Corrupción'!$AC$14="Muy Baja",'Mapa de Riesgos de Corrupción'!$AE$14="Leve"),CONCATENATE("R4C",'Mapa de Riesgos de Corrupción'!$R$14),"")</f>
        <v/>
      </c>
      <c r="M49" s="192" t="e">
        <f>IF(AND('Mapa de Riesgos de Corrupción'!#REF!="Muy Baja",'Mapa de Riesgos de Corrupción'!#REF!="Leve"),CONCATENATE("R4C",'Mapa de Riesgos de Corrupción'!#REF!),"")</f>
        <v>#REF!</v>
      </c>
      <c r="N49" s="192" t="e">
        <f>IF(AND('Mapa de Riesgos de Corrupción'!#REF!="Muy Baja",'Mapa de Riesgos de Corrupción'!#REF!="Leve"),CONCATENATE("R4C",'Mapa de Riesgos de Corrupción'!#REF!),"")</f>
        <v>#REF!</v>
      </c>
      <c r="O49" s="193" t="str">
        <f ca="1">IF(AND('Mapa de Riesgos de Corrupción'!$AC$15="Muy Baja",'Mapa de Riesgos de Corrupción'!$AE$15="Leve"),CONCATENATE("R4C",'Mapa de Riesgos de Corrupción'!$R$15),"")</f>
        <v/>
      </c>
      <c r="P49" s="191" t="str">
        <f ca="1">IF(AND('Mapa de Riesgos de Corrupción'!$AC$13="Muy Baja",'Mapa de Riesgos de Corrupción'!$AE$13="Menor"),CONCATENATE("R4C",'Mapa de Riesgos de Corrupción'!$R$13),"")</f>
        <v/>
      </c>
      <c r="Q49" s="192" t="e">
        <f>IF(AND('Mapa de Riesgos de Corrupción'!#REF!="Muy Baja",'Mapa de Riesgos de Corrupción'!#REF!="Menor"),CONCATENATE("R4C",'Mapa de Riesgos de Corrupción'!#REF!),"")</f>
        <v>#REF!</v>
      </c>
      <c r="R49" s="192" t="str">
        <f ca="1">IF(AND('Mapa de Riesgos de Corrupción'!$AC$14="Muy Baja",'Mapa de Riesgos de Corrupción'!$AE$14="Menor"),CONCATENATE("R4C",'Mapa de Riesgos de Corrupción'!$R$14),"")</f>
        <v/>
      </c>
      <c r="S49" s="192" t="e">
        <f>IF(AND('Mapa de Riesgos de Corrupción'!#REF!="Muy Baja",'Mapa de Riesgos de Corrupción'!#REF!="Menor"),CONCATENATE("R4C",'Mapa de Riesgos de Corrupción'!#REF!),"")</f>
        <v>#REF!</v>
      </c>
      <c r="T49" s="192" t="e">
        <f>IF(AND('Mapa de Riesgos de Corrupción'!#REF!="Muy Baja",'Mapa de Riesgos de Corrupción'!#REF!="Menor"),CONCATENATE("R4C",'Mapa de Riesgos de Corrupción'!#REF!),"")</f>
        <v>#REF!</v>
      </c>
      <c r="U49" s="193" t="str">
        <f ca="1">IF(AND('Mapa de Riesgos de Corrupción'!$AC$15="Muy Baja",'Mapa de Riesgos de Corrupción'!$AE$15="Menor"),CONCATENATE("R4C",'Mapa de Riesgos de Corrupción'!$R$15),"")</f>
        <v/>
      </c>
      <c r="V49" s="182" t="str">
        <f ca="1">IF(AND('Mapa de Riesgos de Corrupción'!$AC$13="Muy Baja",'Mapa de Riesgos de Corrupción'!$AE$13="Moderado"),CONCATENATE("R4C",'Mapa de Riesgos de Corrupción'!$R$13),"")</f>
        <v/>
      </c>
      <c r="W49" s="183" t="e">
        <f>IF(AND('Mapa de Riesgos de Corrupción'!#REF!="Muy Baja",'Mapa de Riesgos de Corrupción'!#REF!="Moderado"),CONCATENATE("R4C",'Mapa de Riesgos de Corrupción'!#REF!),"")</f>
        <v>#REF!</v>
      </c>
      <c r="X49" s="183" t="str">
        <f ca="1">IF(AND('Mapa de Riesgos de Corrupción'!$AC$14="Muy Baja",'Mapa de Riesgos de Corrupción'!$AE$14="Moderado"),CONCATENATE("R4C",'Mapa de Riesgos de Corrupción'!$R$14),"")</f>
        <v/>
      </c>
      <c r="Y49" s="183" t="e">
        <f>IF(AND('Mapa de Riesgos de Corrupción'!#REF!="Muy Baja",'Mapa de Riesgos de Corrupción'!#REF!="Moderado"),CONCATENATE("R4C",'Mapa de Riesgos de Corrupción'!#REF!),"")</f>
        <v>#REF!</v>
      </c>
      <c r="Z49" s="183" t="e">
        <f>IF(AND('Mapa de Riesgos de Corrupción'!#REF!="Muy Baja",'Mapa de Riesgos de Corrupción'!#REF!="Moderado"),CONCATENATE("R4C",'Mapa de Riesgos de Corrupción'!#REF!),"")</f>
        <v>#REF!</v>
      </c>
      <c r="AA49" s="184" t="str">
        <f ca="1">IF(AND('Mapa de Riesgos de Corrupción'!$AC$15="Muy Baja",'Mapa de Riesgos de Corrupción'!$AE$15="Moderado"),CONCATENATE("R4C",'Mapa de Riesgos de Corrupción'!$R$15),"")</f>
        <v/>
      </c>
      <c r="AB49" s="167" t="str">
        <f ca="1">IF(AND('Mapa de Riesgos de Corrupción'!$AC$13="Muy Baja",'Mapa de Riesgos de Corrupción'!$AE$13="Mayor"),CONCATENATE("R4C",'Mapa de Riesgos de Corrupción'!$R$13),"")</f>
        <v/>
      </c>
      <c r="AC49" s="168" t="e">
        <f>IF(AND('Mapa de Riesgos de Corrupción'!#REF!="Muy Baja",'Mapa de Riesgos de Corrupción'!#REF!="Mayor"),CONCATENATE("R4C",'Mapa de Riesgos de Corrupción'!#REF!),"")</f>
        <v>#REF!</v>
      </c>
      <c r="AD49" s="168" t="str">
        <f ca="1">IF(AND('Mapa de Riesgos de Corrupción'!$AC$14="Muy Baja",'Mapa de Riesgos de Corrupción'!$AE$14="Mayor"),CONCATENATE("R4C",'Mapa de Riesgos de Corrupción'!$R$14),"")</f>
        <v/>
      </c>
      <c r="AE49" s="168" t="e">
        <f>IF(AND('Mapa de Riesgos de Corrupción'!#REF!="Muy Baja",'Mapa de Riesgos de Corrupción'!#REF!="Mayor"),CONCATENATE("R4C",'Mapa de Riesgos de Corrupción'!#REF!),"")</f>
        <v>#REF!</v>
      </c>
      <c r="AF49" s="168" t="e">
        <f>IF(AND('Mapa de Riesgos de Corrupción'!#REF!="Muy Baja",'Mapa de Riesgos de Corrupción'!#REF!="Mayor"),CONCATENATE("R4C",'Mapa de Riesgos de Corrupción'!#REF!),"")</f>
        <v>#REF!</v>
      </c>
      <c r="AG49" s="169" t="str">
        <f ca="1">IF(AND('Mapa de Riesgos de Corrupción'!$AC$15="Muy Baja",'Mapa de Riesgos de Corrupción'!$AE$15="Mayor"),CONCATENATE("R4C",'Mapa de Riesgos de Corrupción'!$R$15),"")</f>
        <v/>
      </c>
      <c r="AH49" s="170" t="str">
        <f ca="1">IF(AND('Mapa de Riesgos de Corrupción'!$AC$13="Muy Baja",'Mapa de Riesgos de Corrupción'!$AE$13="Catastrófico"),CONCATENATE("R4C",'Mapa de Riesgos de Corrupción'!$R$13),"")</f>
        <v/>
      </c>
      <c r="AI49" s="171" t="e">
        <f>IF(AND('Mapa de Riesgos de Corrupción'!#REF!="Muy Baja",'Mapa de Riesgos de Corrupción'!#REF!="Catastrófico"),CONCATENATE("R4C",'Mapa de Riesgos de Corrupción'!#REF!),"")</f>
        <v>#REF!</v>
      </c>
      <c r="AJ49" s="171" t="str">
        <f ca="1">IF(AND('Mapa de Riesgos de Corrupción'!$AC$14="Muy Baja",'Mapa de Riesgos de Corrupción'!$AE$14="Catastrófico"),CONCATENATE("R4C",'Mapa de Riesgos de Corrupción'!$R$14),"")</f>
        <v/>
      </c>
      <c r="AK49" s="171" t="e">
        <f>IF(AND('Mapa de Riesgos de Corrupción'!#REF!="Muy Baja",'Mapa de Riesgos de Corrupción'!#REF!="Catastrófico"),CONCATENATE("R4C",'Mapa de Riesgos de Corrupción'!#REF!),"")</f>
        <v>#REF!</v>
      </c>
      <c r="AL49" s="171" t="e">
        <f>IF(AND('Mapa de Riesgos de Corrupción'!#REF!="Muy Baja",'Mapa de Riesgos de Corrupción'!#REF!="Catastrófico"),CONCATENATE("R4C",'Mapa de Riesgos de Corrupción'!#REF!),"")</f>
        <v>#REF!</v>
      </c>
      <c r="AM49" s="172" t="str">
        <f ca="1">IF(AND('Mapa de Riesgos de Corrupción'!$AC$15="Muy Baja",'Mapa de Riesgos de Corrupción'!$AE$15="Catastrófico"),CONCATENATE("R4C",'Mapa de Riesgos de Corrupción'!$R$15),"")</f>
        <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row>
    <row r="50" spans="1:61" ht="15" customHeight="1">
      <c r="A50" s="122"/>
      <c r="B50" s="293"/>
      <c r="C50" s="224"/>
      <c r="D50" s="265"/>
      <c r="E50" s="223"/>
      <c r="F50" s="224"/>
      <c r="G50" s="224"/>
      <c r="H50" s="224"/>
      <c r="I50" s="265"/>
      <c r="J50" s="191" t="str">
        <f ca="1">IF(AND('Mapa de Riesgos de Corrupción'!$AC$16="Muy Baja",'Mapa de Riesgos de Corrupción'!$AE$16="Leve"),CONCATENATE("R5C",'Mapa de Riesgos de Corrupción'!$R$16),"")</f>
        <v/>
      </c>
      <c r="K50" s="192" t="e">
        <f>IF(AND('Mapa de Riesgos de Corrupción'!#REF!="Muy Baja",'Mapa de Riesgos de Corrupción'!#REF!="Leve"),CONCATENATE("R5C",'Mapa de Riesgos de Corrupción'!#REF!),"")</f>
        <v>#REF!</v>
      </c>
      <c r="L50" s="192" t="e">
        <f>IF(AND('Mapa de Riesgos de Corrupción'!#REF!="Muy Baja",'Mapa de Riesgos de Corrupción'!#REF!="Leve"),CONCATENATE("R5C",'Mapa de Riesgos de Corrupción'!#REF!),"")</f>
        <v>#REF!</v>
      </c>
      <c r="M50" s="192" t="str">
        <f ca="1">IF(AND('Mapa de Riesgos de Corrupción'!$AC$17="Muy Baja",'Mapa de Riesgos de Corrupción'!$AE$17="Leve"),CONCATENATE("R5C",'Mapa de Riesgos de Corrupción'!$R$17),"")</f>
        <v/>
      </c>
      <c r="N50" s="192" t="e">
        <f>IF(AND('Mapa de Riesgos de Corrupción'!#REF!="Muy Baja",'Mapa de Riesgos de Corrupción'!#REF!="Leve"),CONCATENATE("R5C",'Mapa de Riesgos de Corrupción'!#REF!),"")</f>
        <v>#REF!</v>
      </c>
      <c r="O50" s="193" t="str">
        <f ca="1">IF(AND('Mapa de Riesgos de Corrupción'!$AC$18="Muy Baja",'Mapa de Riesgos de Corrupción'!$AE$18="Leve"),CONCATENATE("R5C",'Mapa de Riesgos de Corrupción'!$R$18),"")</f>
        <v/>
      </c>
      <c r="P50" s="191" t="str">
        <f ca="1">IF(AND('Mapa de Riesgos de Corrupción'!$AC$16="Muy Baja",'Mapa de Riesgos de Corrupción'!$AE$16="Menor"),CONCATENATE("R5C",'Mapa de Riesgos de Corrupción'!$R$16),"")</f>
        <v/>
      </c>
      <c r="Q50" s="192" t="e">
        <f>IF(AND('Mapa de Riesgos de Corrupción'!#REF!="Muy Baja",'Mapa de Riesgos de Corrupción'!#REF!="Menor"),CONCATENATE("R5C",'Mapa de Riesgos de Corrupción'!#REF!),"")</f>
        <v>#REF!</v>
      </c>
      <c r="R50" s="192" t="e">
        <f>IF(AND('Mapa de Riesgos de Corrupción'!#REF!="Muy Baja",'Mapa de Riesgos de Corrupción'!#REF!="Menor"),CONCATENATE("R5C",'Mapa de Riesgos de Corrupción'!#REF!),"")</f>
        <v>#REF!</v>
      </c>
      <c r="S50" s="192" t="str">
        <f ca="1">IF(AND('Mapa de Riesgos de Corrupción'!$AC$17="Muy Baja",'Mapa de Riesgos de Corrupción'!$AE$17="Menor"),CONCATENATE("R5C",'Mapa de Riesgos de Corrupción'!$R$17),"")</f>
        <v/>
      </c>
      <c r="T50" s="192" t="e">
        <f>IF(AND('Mapa de Riesgos de Corrupción'!#REF!="Muy Baja",'Mapa de Riesgos de Corrupción'!#REF!="Menor"),CONCATENATE("R5C",'Mapa de Riesgos de Corrupción'!#REF!),"")</f>
        <v>#REF!</v>
      </c>
      <c r="U50" s="193" t="str">
        <f ca="1">IF(AND('Mapa de Riesgos de Corrupción'!$AC$18="Muy Baja",'Mapa de Riesgos de Corrupción'!$AE$18="Menor"),CONCATENATE("R5C",'Mapa de Riesgos de Corrupción'!$R$18),"")</f>
        <v/>
      </c>
      <c r="V50" s="182" t="str">
        <f ca="1">IF(AND('Mapa de Riesgos de Corrupción'!$AC$16="Muy Baja",'Mapa de Riesgos de Corrupción'!$AE$16="Moderado"),CONCATENATE("R5C",'Mapa de Riesgos de Corrupción'!$R$16),"")</f>
        <v/>
      </c>
      <c r="W50" s="183" t="e">
        <f>IF(AND('Mapa de Riesgos de Corrupción'!#REF!="Muy Baja",'Mapa de Riesgos de Corrupción'!#REF!="Moderado"),CONCATENATE("R5C",'Mapa de Riesgos de Corrupción'!#REF!),"")</f>
        <v>#REF!</v>
      </c>
      <c r="X50" s="183" t="e">
        <f>IF(AND('Mapa de Riesgos de Corrupción'!#REF!="Muy Baja",'Mapa de Riesgos de Corrupción'!#REF!="Moderado"),CONCATENATE("R5C",'Mapa de Riesgos de Corrupción'!#REF!),"")</f>
        <v>#REF!</v>
      </c>
      <c r="Y50" s="183" t="str">
        <f ca="1">IF(AND('Mapa de Riesgos de Corrupción'!$AC$17="Muy Baja",'Mapa de Riesgos de Corrupción'!$AE$17="Moderado"),CONCATENATE("R5C",'Mapa de Riesgos de Corrupción'!$R$17),"")</f>
        <v/>
      </c>
      <c r="Z50" s="183" t="e">
        <f>IF(AND('Mapa de Riesgos de Corrupción'!#REF!="Muy Baja",'Mapa de Riesgos de Corrupción'!#REF!="Moderado"),CONCATENATE("R5C",'Mapa de Riesgos de Corrupción'!#REF!),"")</f>
        <v>#REF!</v>
      </c>
      <c r="AA50" s="184" t="str">
        <f ca="1">IF(AND('Mapa de Riesgos de Corrupción'!$AC$18="Muy Baja",'Mapa de Riesgos de Corrupción'!$AE$18="Moderado"),CONCATENATE("R5C",'Mapa de Riesgos de Corrupción'!$R$18),"")</f>
        <v/>
      </c>
      <c r="AB50" s="167" t="str">
        <f ca="1">IF(AND('Mapa de Riesgos de Corrupción'!$AC$16="Muy Baja",'Mapa de Riesgos de Corrupción'!$AE$16="Mayor"),CONCATENATE("R5C",'Mapa de Riesgos de Corrupción'!$R$16),"")</f>
        <v/>
      </c>
      <c r="AC50" s="168" t="e">
        <f>IF(AND('Mapa de Riesgos de Corrupción'!#REF!="Muy Baja",'Mapa de Riesgos de Corrupción'!#REF!="Mayor"),CONCATENATE("R5C",'Mapa de Riesgos de Corrupción'!#REF!),"")</f>
        <v>#REF!</v>
      </c>
      <c r="AD50" s="168" t="e">
        <f>IF(AND('Mapa de Riesgos de Corrupción'!#REF!="Muy Baja",'Mapa de Riesgos de Corrupción'!#REF!="Mayor"),CONCATENATE("R5C",'Mapa de Riesgos de Corrupción'!#REF!),"")</f>
        <v>#REF!</v>
      </c>
      <c r="AE50" s="168" t="str">
        <f ca="1">IF(AND('Mapa de Riesgos de Corrupción'!$AC$17="Muy Baja",'Mapa de Riesgos de Corrupción'!$AE$17="Mayor"),CONCATENATE("R5C",'Mapa de Riesgos de Corrupción'!$R$17),"")</f>
        <v>R5C10</v>
      </c>
      <c r="AF50" s="168" t="e">
        <f>IF(AND('Mapa de Riesgos de Corrupción'!#REF!="Muy Baja",'Mapa de Riesgos de Corrupción'!#REF!="Mayor"),CONCATENATE("R5C",'Mapa de Riesgos de Corrupción'!#REF!),"")</f>
        <v>#REF!</v>
      </c>
      <c r="AG50" s="169" t="str">
        <f ca="1">IF(AND('Mapa de Riesgos de Corrupción'!$AC$18="Muy Baja",'Mapa de Riesgos de Corrupción'!$AE$18="Mayor"),CONCATENATE("R5C",'Mapa de Riesgos de Corrupción'!$R$18),"")</f>
        <v/>
      </c>
      <c r="AH50" s="170" t="str">
        <f ca="1">IF(AND('Mapa de Riesgos de Corrupción'!$AC$16="Muy Baja",'Mapa de Riesgos de Corrupción'!$AE$16="Catastrófico"),CONCATENATE("R5C",'Mapa de Riesgos de Corrupción'!$R$16),"")</f>
        <v/>
      </c>
      <c r="AI50" s="171" t="e">
        <f>IF(AND('Mapa de Riesgos de Corrupción'!#REF!="Muy Baja",'Mapa de Riesgos de Corrupción'!#REF!="Catastrófico"),CONCATENATE("R5C",'Mapa de Riesgos de Corrupción'!#REF!),"")</f>
        <v>#REF!</v>
      </c>
      <c r="AJ50" s="171" t="e">
        <f>IF(AND('Mapa de Riesgos de Corrupción'!#REF!="Muy Baja",'Mapa de Riesgos de Corrupción'!#REF!="Catastrófico"),CONCATENATE("R5C",'Mapa de Riesgos de Corrupción'!#REF!),"")</f>
        <v>#REF!</v>
      </c>
      <c r="AK50" s="171" t="str">
        <f ca="1">IF(AND('Mapa de Riesgos de Corrupción'!$AC$17="Muy Baja",'Mapa de Riesgos de Corrupción'!$AE$17="Catastrófico"),CONCATENATE("R5C",'Mapa de Riesgos de Corrupción'!$R$17),"")</f>
        <v/>
      </c>
      <c r="AL50" s="171" t="e">
        <f>IF(AND('Mapa de Riesgos de Corrupción'!#REF!="Muy Baja",'Mapa de Riesgos de Corrupción'!#REF!="Catastrófico"),CONCATENATE("R5C",'Mapa de Riesgos de Corrupción'!#REF!),"")</f>
        <v>#REF!</v>
      </c>
      <c r="AM50" s="172" t="str">
        <f ca="1">IF(AND('Mapa de Riesgos de Corrupción'!$AC$18="Muy Baja",'Mapa de Riesgos de Corrupción'!$AE$18="Catastrófico"),CONCATENATE("R5C",'Mapa de Riesgos de Corrupción'!$R$18),"")</f>
        <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row>
    <row r="51" spans="1:61" ht="15" customHeight="1">
      <c r="A51" s="122"/>
      <c r="B51" s="293"/>
      <c r="C51" s="224"/>
      <c r="D51" s="265"/>
      <c r="E51" s="223"/>
      <c r="F51" s="224"/>
      <c r="G51" s="224"/>
      <c r="H51" s="224"/>
      <c r="I51" s="265"/>
      <c r="J51" s="191" t="e">
        <f>IF(AND('Mapa de Riesgos de Corrupción'!#REF!="Muy Baja",'Mapa de Riesgos de Corrupción'!#REF!="Leve"),CONCATENATE("R6C",'Mapa de Riesgos de Corrupción'!#REF!),"")</f>
        <v>#REF!</v>
      </c>
      <c r="K51" s="192" t="e">
        <f>IF(AND('Mapa de Riesgos de Corrupción'!#REF!="Muy Baja",'Mapa de Riesgos de Corrupción'!#REF!="Leve"),CONCATENATE("R6C",'Mapa de Riesgos de Corrupción'!#REF!),"")</f>
        <v>#REF!</v>
      </c>
      <c r="L51" s="192" t="e">
        <f>IF(AND('Mapa de Riesgos de Corrupción'!#REF!="Muy Baja",'Mapa de Riesgos de Corrupción'!#REF!="Leve"),CONCATENATE("R6C",'Mapa de Riesgos de Corrupción'!#REF!),"")</f>
        <v>#REF!</v>
      </c>
      <c r="M51" s="192" t="e">
        <f>IF(AND('Mapa de Riesgos de Corrupción'!#REF!="Muy Baja",'Mapa de Riesgos de Corrupción'!#REF!="Leve"),CONCATENATE("R6C",'Mapa de Riesgos de Corrupción'!#REF!),"")</f>
        <v>#REF!</v>
      </c>
      <c r="N51" s="192" t="e">
        <f>IF(AND('Mapa de Riesgos de Corrupción'!#REF!="Muy Baja",'Mapa de Riesgos de Corrupción'!#REF!="Leve"),CONCATENATE("R6C",'Mapa de Riesgos de Corrupción'!#REF!),"")</f>
        <v>#REF!</v>
      </c>
      <c r="O51" s="193" t="e">
        <f>IF(AND('Mapa de Riesgos de Corrupción'!#REF!="Muy Baja",'Mapa de Riesgos de Corrupción'!#REF!="Leve"),CONCATENATE("R6C",'Mapa de Riesgos de Corrupción'!#REF!),"")</f>
        <v>#REF!</v>
      </c>
      <c r="P51" s="191" t="e">
        <f>IF(AND('Mapa de Riesgos de Corrupción'!#REF!="Muy Baja",'Mapa de Riesgos de Corrupción'!#REF!="Menor"),CONCATENATE("R6C",'Mapa de Riesgos de Corrupción'!#REF!),"")</f>
        <v>#REF!</v>
      </c>
      <c r="Q51" s="192" t="e">
        <f>IF(AND('Mapa de Riesgos de Corrupción'!#REF!="Muy Baja",'Mapa de Riesgos de Corrupción'!#REF!="Menor"),CONCATENATE("R6C",'Mapa de Riesgos de Corrupción'!#REF!),"")</f>
        <v>#REF!</v>
      </c>
      <c r="R51" s="192" t="e">
        <f>IF(AND('Mapa de Riesgos de Corrupción'!#REF!="Muy Baja",'Mapa de Riesgos de Corrupción'!#REF!="Menor"),CONCATENATE("R6C",'Mapa de Riesgos de Corrupción'!#REF!),"")</f>
        <v>#REF!</v>
      </c>
      <c r="S51" s="192" t="e">
        <f>IF(AND('Mapa de Riesgos de Corrupción'!#REF!="Muy Baja",'Mapa de Riesgos de Corrupción'!#REF!="Menor"),CONCATENATE("R6C",'Mapa de Riesgos de Corrupción'!#REF!),"")</f>
        <v>#REF!</v>
      </c>
      <c r="T51" s="192" t="e">
        <f>IF(AND('Mapa de Riesgos de Corrupción'!#REF!="Muy Baja",'Mapa de Riesgos de Corrupción'!#REF!="Menor"),CONCATENATE("R6C",'Mapa de Riesgos de Corrupción'!#REF!),"")</f>
        <v>#REF!</v>
      </c>
      <c r="U51" s="193" t="e">
        <f>IF(AND('Mapa de Riesgos de Corrupción'!#REF!="Muy Baja",'Mapa de Riesgos de Corrupción'!#REF!="Menor"),CONCATENATE("R6C",'Mapa de Riesgos de Corrupción'!#REF!),"")</f>
        <v>#REF!</v>
      </c>
      <c r="V51" s="182" t="e">
        <f>IF(AND('Mapa de Riesgos de Corrupción'!#REF!="Muy Baja",'Mapa de Riesgos de Corrupción'!#REF!="Moderado"),CONCATENATE("R6C",'Mapa de Riesgos de Corrupción'!#REF!),"")</f>
        <v>#REF!</v>
      </c>
      <c r="W51" s="183" t="e">
        <f>IF(AND('Mapa de Riesgos de Corrupción'!#REF!="Muy Baja",'Mapa de Riesgos de Corrupción'!#REF!="Moderado"),CONCATENATE("R6C",'Mapa de Riesgos de Corrupción'!#REF!),"")</f>
        <v>#REF!</v>
      </c>
      <c r="X51" s="183" t="e">
        <f>IF(AND('Mapa de Riesgos de Corrupción'!#REF!="Muy Baja",'Mapa de Riesgos de Corrupción'!#REF!="Moderado"),CONCATENATE("R6C",'Mapa de Riesgos de Corrupción'!#REF!),"")</f>
        <v>#REF!</v>
      </c>
      <c r="Y51" s="183" t="e">
        <f>IF(AND('Mapa de Riesgos de Corrupción'!#REF!="Muy Baja",'Mapa de Riesgos de Corrupción'!#REF!="Moderado"),CONCATENATE("R6C",'Mapa de Riesgos de Corrupción'!#REF!),"")</f>
        <v>#REF!</v>
      </c>
      <c r="Z51" s="183" t="e">
        <f>IF(AND('Mapa de Riesgos de Corrupción'!#REF!="Muy Baja",'Mapa de Riesgos de Corrupción'!#REF!="Moderado"),CONCATENATE("R6C",'Mapa de Riesgos de Corrupción'!#REF!),"")</f>
        <v>#REF!</v>
      </c>
      <c r="AA51" s="184" t="e">
        <f>IF(AND('Mapa de Riesgos de Corrupción'!#REF!="Muy Baja",'Mapa de Riesgos de Corrupción'!#REF!="Moderado"),CONCATENATE("R6C",'Mapa de Riesgos de Corrupción'!#REF!),"")</f>
        <v>#REF!</v>
      </c>
      <c r="AB51" s="167" t="e">
        <f>IF(AND('Mapa de Riesgos de Corrupción'!#REF!="Muy Baja",'Mapa de Riesgos de Corrupción'!#REF!="Mayor"),CONCATENATE("R6C",'Mapa de Riesgos de Corrupción'!#REF!),"")</f>
        <v>#REF!</v>
      </c>
      <c r="AC51" s="168" t="e">
        <f>IF(AND('Mapa de Riesgos de Corrupción'!#REF!="Muy Baja",'Mapa de Riesgos de Corrupción'!#REF!="Mayor"),CONCATENATE("R6C",'Mapa de Riesgos de Corrupción'!#REF!),"")</f>
        <v>#REF!</v>
      </c>
      <c r="AD51" s="168" t="e">
        <f>IF(AND('Mapa de Riesgos de Corrupción'!#REF!="Muy Baja",'Mapa de Riesgos de Corrupción'!#REF!="Mayor"),CONCATENATE("R6C",'Mapa de Riesgos de Corrupción'!#REF!),"")</f>
        <v>#REF!</v>
      </c>
      <c r="AE51" s="168" t="e">
        <f>IF(AND('Mapa de Riesgos de Corrupción'!#REF!="Muy Baja",'Mapa de Riesgos de Corrupción'!#REF!="Mayor"),CONCATENATE("R6C",'Mapa de Riesgos de Corrupción'!#REF!),"")</f>
        <v>#REF!</v>
      </c>
      <c r="AF51" s="168" t="e">
        <f>IF(AND('Mapa de Riesgos de Corrupción'!#REF!="Muy Baja",'Mapa de Riesgos de Corrupción'!#REF!="Mayor"),CONCATENATE("R6C",'Mapa de Riesgos de Corrupción'!#REF!),"")</f>
        <v>#REF!</v>
      </c>
      <c r="AG51" s="169" t="e">
        <f>IF(AND('Mapa de Riesgos de Corrupción'!#REF!="Muy Baja",'Mapa de Riesgos de Corrupción'!#REF!="Mayor"),CONCATENATE("R6C",'Mapa de Riesgos de Corrupción'!#REF!),"")</f>
        <v>#REF!</v>
      </c>
      <c r="AH51" s="170" t="e">
        <f>IF(AND('Mapa de Riesgos de Corrupción'!#REF!="Muy Baja",'Mapa de Riesgos de Corrupción'!#REF!="Catastrófico"),CONCATENATE("R6C",'Mapa de Riesgos de Corrupción'!#REF!),"")</f>
        <v>#REF!</v>
      </c>
      <c r="AI51" s="171" t="e">
        <f>IF(AND('Mapa de Riesgos de Corrupción'!#REF!="Muy Baja",'Mapa de Riesgos de Corrupción'!#REF!="Catastrófico"),CONCATENATE("R6C",'Mapa de Riesgos de Corrupción'!#REF!),"")</f>
        <v>#REF!</v>
      </c>
      <c r="AJ51" s="171" t="e">
        <f>IF(AND('Mapa de Riesgos de Corrupción'!#REF!="Muy Baja",'Mapa de Riesgos de Corrupción'!#REF!="Catastrófico"),CONCATENATE("R6C",'Mapa de Riesgos de Corrupción'!#REF!),"")</f>
        <v>#REF!</v>
      </c>
      <c r="AK51" s="171" t="e">
        <f>IF(AND('Mapa de Riesgos de Corrupción'!#REF!="Muy Baja",'Mapa de Riesgos de Corrupción'!#REF!="Catastrófico"),CONCATENATE("R6C",'Mapa de Riesgos de Corrupción'!#REF!),"")</f>
        <v>#REF!</v>
      </c>
      <c r="AL51" s="171" t="e">
        <f>IF(AND('Mapa de Riesgos de Corrupción'!#REF!="Muy Baja",'Mapa de Riesgos de Corrupción'!#REF!="Catastrófico"),CONCATENATE("R6C",'Mapa de Riesgos de Corrupción'!#REF!),"")</f>
        <v>#REF!</v>
      </c>
      <c r="AM51" s="172" t="e">
        <f>IF(AND('Mapa de Riesgos de Corrupción'!#REF!="Muy Baja",'Mapa de Riesgos de Corrupción'!#REF!="Catastrófico"),CONCATENATE("R6C",'Mapa de Riesgos de Corrupción'!#REF!),"")</f>
        <v>#REF!</v>
      </c>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row>
    <row r="52" spans="1:61" ht="15" customHeight="1">
      <c r="A52" s="122"/>
      <c r="B52" s="293"/>
      <c r="C52" s="224"/>
      <c r="D52" s="265"/>
      <c r="E52" s="223"/>
      <c r="F52" s="224"/>
      <c r="G52" s="224"/>
      <c r="H52" s="224"/>
      <c r="I52" s="265"/>
      <c r="J52" s="191" t="e">
        <f>IF(AND('Mapa de Riesgos de Corrupción'!#REF!="Muy Baja",'Mapa de Riesgos de Corrupción'!#REF!="Leve"),CONCATENATE("R7C",'Mapa de Riesgos de Corrupción'!#REF!),"")</f>
        <v>#REF!</v>
      </c>
      <c r="K52" s="192" t="str">
        <f ca="1">IF(AND('Mapa de Riesgos de Corrupción'!$AC$19="Muy Baja",'Mapa de Riesgos de Corrupción'!$AE$19="Leve"),CONCATENATE("R7C",'Mapa de Riesgos de Corrupción'!$R$19),"")</f>
        <v/>
      </c>
      <c r="L52" s="192" t="e">
        <f>IF(AND('Mapa de Riesgos de Corrupción'!#REF!="Muy Baja",'Mapa de Riesgos de Corrupción'!#REF!="Leve"),CONCATENATE("R7C",'Mapa de Riesgos de Corrupción'!#REF!),"")</f>
        <v>#REF!</v>
      </c>
      <c r="M52" s="192" t="str">
        <f ca="1">IF(AND('Mapa de Riesgos de Corrupción'!$AC$20="Muy Baja",'Mapa de Riesgos de Corrupción'!$AE$20="Leve"),CONCATENATE("R7C",'Mapa de Riesgos de Corrupción'!$R$20),"")</f>
        <v/>
      </c>
      <c r="N52" s="192" t="e">
        <f>IF(AND('Mapa de Riesgos de Corrupción'!#REF!="Muy Baja",'Mapa de Riesgos de Corrupción'!#REF!="Leve"),CONCATENATE("R7C",'Mapa de Riesgos de Corrupción'!#REF!),"")</f>
        <v>#REF!</v>
      </c>
      <c r="O52" s="193" t="e">
        <f>IF(AND('Mapa de Riesgos de Corrupción'!#REF!="Muy Baja",'Mapa de Riesgos de Corrupción'!#REF!="Leve"),CONCATENATE("R7C",'Mapa de Riesgos de Corrupción'!#REF!),"")</f>
        <v>#REF!</v>
      </c>
      <c r="P52" s="191" t="e">
        <f>IF(AND('Mapa de Riesgos de Corrupción'!#REF!="Muy Baja",'Mapa de Riesgos de Corrupción'!#REF!="Menor"),CONCATENATE("R7C",'Mapa de Riesgos de Corrupción'!#REF!),"")</f>
        <v>#REF!</v>
      </c>
      <c r="Q52" s="192" t="str">
        <f ca="1">IF(AND('Mapa de Riesgos de Corrupción'!$AC$19="Muy Baja",'Mapa de Riesgos de Corrupción'!$AE$19="Menor"),CONCATENATE("R7C",'Mapa de Riesgos de Corrupción'!$R$19),"")</f>
        <v/>
      </c>
      <c r="R52" s="192" t="e">
        <f>IF(AND('Mapa de Riesgos de Corrupción'!#REF!="Muy Baja",'Mapa de Riesgos de Corrupción'!#REF!="Menor"),CONCATENATE("R7C",'Mapa de Riesgos de Corrupción'!#REF!),"")</f>
        <v>#REF!</v>
      </c>
      <c r="S52" s="192" t="str">
        <f ca="1">IF(AND('Mapa de Riesgos de Corrupción'!$AC$20="Muy Baja",'Mapa de Riesgos de Corrupción'!$AE$20="Menor"),CONCATENATE("R7C",'Mapa de Riesgos de Corrupción'!$R$20),"")</f>
        <v/>
      </c>
      <c r="T52" s="192" t="e">
        <f>IF(AND('Mapa de Riesgos de Corrupción'!#REF!="Muy Baja",'Mapa de Riesgos de Corrupción'!#REF!="Menor"),CONCATENATE("R7C",'Mapa de Riesgos de Corrupción'!#REF!),"")</f>
        <v>#REF!</v>
      </c>
      <c r="U52" s="193" t="e">
        <f>IF(AND('Mapa de Riesgos de Corrupción'!#REF!="Muy Baja",'Mapa de Riesgos de Corrupción'!#REF!="Menor"),CONCATENATE("R7C",'Mapa de Riesgos de Corrupción'!#REF!),"")</f>
        <v>#REF!</v>
      </c>
      <c r="V52" s="182" t="e">
        <f>IF(AND('Mapa de Riesgos de Corrupción'!#REF!="Muy Baja",'Mapa de Riesgos de Corrupción'!#REF!="Moderado"),CONCATENATE("R7C",'Mapa de Riesgos de Corrupción'!#REF!),"")</f>
        <v>#REF!</v>
      </c>
      <c r="W52" s="183" t="str">
        <f ca="1">IF(AND('Mapa de Riesgos de Corrupción'!$AC$19="Muy Baja",'Mapa de Riesgos de Corrupción'!$AE$19="Moderado"),CONCATENATE("R7C",'Mapa de Riesgos de Corrupción'!$R$19),"")</f>
        <v/>
      </c>
      <c r="X52" s="183" t="e">
        <f>IF(AND('Mapa de Riesgos de Corrupción'!#REF!="Muy Baja",'Mapa de Riesgos de Corrupción'!#REF!="Moderado"),CONCATENATE("R7C",'Mapa de Riesgos de Corrupción'!#REF!),"")</f>
        <v>#REF!</v>
      </c>
      <c r="Y52" s="183" t="str">
        <f ca="1">IF(AND('Mapa de Riesgos de Corrupción'!$AC$20="Muy Baja",'Mapa de Riesgos de Corrupción'!$AE$20="Moderado"),CONCATENATE("R7C",'Mapa de Riesgos de Corrupción'!$R$20),"")</f>
        <v/>
      </c>
      <c r="Z52" s="183" t="e">
        <f>IF(AND('Mapa de Riesgos de Corrupción'!#REF!="Muy Baja",'Mapa de Riesgos de Corrupción'!#REF!="Moderado"),CONCATENATE("R7C",'Mapa de Riesgos de Corrupción'!#REF!),"")</f>
        <v>#REF!</v>
      </c>
      <c r="AA52" s="184" t="e">
        <f>IF(AND('Mapa de Riesgos de Corrupción'!#REF!="Muy Baja",'Mapa de Riesgos de Corrupción'!#REF!="Moderado"),CONCATENATE("R7C",'Mapa de Riesgos de Corrupción'!#REF!),"")</f>
        <v>#REF!</v>
      </c>
      <c r="AB52" s="167" t="e">
        <f>IF(AND('Mapa de Riesgos de Corrupción'!#REF!="Muy Baja",'Mapa de Riesgos de Corrupción'!#REF!="Mayor"),CONCATENATE("R7C",'Mapa de Riesgos de Corrupción'!#REF!),"")</f>
        <v>#REF!</v>
      </c>
      <c r="AC52" s="168" t="str">
        <f ca="1">IF(AND('Mapa de Riesgos de Corrupción'!$AC$19="Muy Baja",'Mapa de Riesgos de Corrupción'!$AE$19="Mayor"),CONCATENATE("R7C",'Mapa de Riesgos de Corrupción'!$R$19),"")</f>
        <v/>
      </c>
      <c r="AD52" s="168" t="e">
        <f>IF(AND('Mapa de Riesgos de Corrupción'!#REF!="Muy Baja",'Mapa de Riesgos de Corrupción'!#REF!="Mayor"),CONCATENATE("R7C",'Mapa de Riesgos de Corrupción'!#REF!),"")</f>
        <v>#REF!</v>
      </c>
      <c r="AE52" s="168" t="str">
        <f ca="1">IF(AND('Mapa de Riesgos de Corrupción'!$AC$20="Muy Baja",'Mapa de Riesgos de Corrupción'!$AE$20="Mayor"),CONCATENATE("R7C",'Mapa de Riesgos de Corrupción'!$R$20),"")</f>
        <v/>
      </c>
      <c r="AF52" s="168" t="e">
        <f>IF(AND('Mapa de Riesgos de Corrupción'!#REF!="Muy Baja",'Mapa de Riesgos de Corrupción'!#REF!="Mayor"),CONCATENATE("R7C",'Mapa de Riesgos de Corrupción'!#REF!),"")</f>
        <v>#REF!</v>
      </c>
      <c r="AG52" s="169" t="e">
        <f>IF(AND('Mapa de Riesgos de Corrupción'!#REF!="Muy Baja",'Mapa de Riesgos de Corrupción'!#REF!="Mayor"),CONCATENATE("R7C",'Mapa de Riesgos de Corrupción'!#REF!),"")</f>
        <v>#REF!</v>
      </c>
      <c r="AH52" s="170" t="e">
        <f>IF(AND('Mapa de Riesgos de Corrupción'!#REF!="Muy Baja",'Mapa de Riesgos de Corrupción'!#REF!="Catastrófico"),CONCATENATE("R7C",'Mapa de Riesgos de Corrupción'!#REF!),"")</f>
        <v>#REF!</v>
      </c>
      <c r="AI52" s="171" t="str">
        <f ca="1">IF(AND('Mapa de Riesgos de Corrupción'!$AC$19="Muy Baja",'Mapa de Riesgos de Corrupción'!$AE$19="Catastrófico"),CONCATENATE("R7C",'Mapa de Riesgos de Corrupción'!$R$19),"")</f>
        <v/>
      </c>
      <c r="AJ52" s="171" t="e">
        <f>IF(AND('Mapa de Riesgos de Corrupción'!#REF!="Muy Baja",'Mapa de Riesgos de Corrupción'!#REF!="Catastrófico"),CONCATENATE("R7C",'Mapa de Riesgos de Corrupción'!#REF!),"")</f>
        <v>#REF!</v>
      </c>
      <c r="AK52" s="171" t="str">
        <f ca="1">IF(AND('Mapa de Riesgos de Corrupción'!$AC$20="Muy Baja",'Mapa de Riesgos de Corrupción'!$AE$20="Catastrófico"),CONCATENATE("R7C",'Mapa de Riesgos de Corrupción'!$R$20),"")</f>
        <v/>
      </c>
      <c r="AL52" s="171" t="e">
        <f>IF(AND('Mapa de Riesgos de Corrupción'!#REF!="Muy Baja",'Mapa de Riesgos de Corrupción'!#REF!="Catastrófico"),CONCATENATE("R7C",'Mapa de Riesgos de Corrupción'!#REF!),"")</f>
        <v>#REF!</v>
      </c>
      <c r="AM52" s="172" t="e">
        <f>IF(AND('Mapa de Riesgos de Corrupción'!#REF!="Muy Baja",'Mapa de Riesgos de Corrupción'!#REF!="Catastrófico"),CONCATENATE("R7C",'Mapa de Riesgos de Corrupción'!#REF!),"")</f>
        <v>#REF!</v>
      </c>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row>
    <row r="53" spans="1:61" ht="15" customHeight="1">
      <c r="A53" s="122"/>
      <c r="B53" s="293"/>
      <c r="C53" s="224"/>
      <c r="D53" s="265"/>
      <c r="E53" s="223"/>
      <c r="F53" s="224"/>
      <c r="G53" s="224"/>
      <c r="H53" s="224"/>
      <c r="I53" s="265"/>
      <c r="J53" s="191" t="e">
        <f>IF(AND('Mapa de Riesgos de Corrupción'!#REF!="Muy Baja",'Mapa de Riesgos de Corrupción'!#REF!="Leve"),CONCATENATE("R8C",'Mapa de Riesgos de Corrupción'!#REF!),"")</f>
        <v>#REF!</v>
      </c>
      <c r="K53" s="192" t="e">
        <f>IF(AND('Mapa de Riesgos de Corrupción'!#REF!="Muy Baja",'Mapa de Riesgos de Corrupción'!#REF!="Leve"),CONCATENATE("R8C",'Mapa de Riesgos de Corrupción'!#REF!),"")</f>
        <v>#REF!</v>
      </c>
      <c r="L53" s="192" t="e">
        <f>IF(AND('Mapa de Riesgos de Corrupción'!#REF!="Muy Baja",'Mapa de Riesgos de Corrupción'!#REF!="Leve"),CONCATENATE("R8C",'Mapa de Riesgos de Corrupción'!#REF!),"")</f>
        <v>#REF!</v>
      </c>
      <c r="M53" s="192" t="e">
        <f>IF(AND('Mapa de Riesgos de Corrupción'!#REF!="Muy Baja",'Mapa de Riesgos de Corrupción'!#REF!="Leve"),CONCATENATE("R8C",'Mapa de Riesgos de Corrupción'!#REF!),"")</f>
        <v>#REF!</v>
      </c>
      <c r="N53" s="192" t="e">
        <f>IF(AND('Mapa de Riesgos de Corrupción'!#REF!="Muy Baja",'Mapa de Riesgos de Corrupción'!#REF!="Leve"),CONCATENATE("R8C",'Mapa de Riesgos de Corrupción'!#REF!),"")</f>
        <v>#REF!</v>
      </c>
      <c r="O53" s="193" t="e">
        <f>IF(AND('Mapa de Riesgos de Corrupción'!#REF!="Muy Baja",'Mapa de Riesgos de Corrupción'!#REF!="Leve"),CONCATENATE("R8C",'Mapa de Riesgos de Corrupción'!#REF!),"")</f>
        <v>#REF!</v>
      </c>
      <c r="P53" s="191" t="e">
        <f>IF(AND('Mapa de Riesgos de Corrupción'!#REF!="Muy Baja",'Mapa de Riesgos de Corrupción'!#REF!="Menor"),CONCATENATE("R8C",'Mapa de Riesgos de Corrupción'!#REF!),"")</f>
        <v>#REF!</v>
      </c>
      <c r="Q53" s="192" t="e">
        <f>IF(AND('Mapa de Riesgos de Corrupción'!#REF!="Muy Baja",'Mapa de Riesgos de Corrupción'!#REF!="Menor"),CONCATENATE("R8C",'Mapa de Riesgos de Corrupción'!#REF!),"")</f>
        <v>#REF!</v>
      </c>
      <c r="R53" s="192" t="e">
        <f>IF(AND('Mapa de Riesgos de Corrupción'!#REF!="Muy Baja",'Mapa de Riesgos de Corrupción'!#REF!="Menor"),CONCATENATE("R8C",'Mapa de Riesgos de Corrupción'!#REF!),"")</f>
        <v>#REF!</v>
      </c>
      <c r="S53" s="192" t="e">
        <f>IF(AND('Mapa de Riesgos de Corrupción'!#REF!="Muy Baja",'Mapa de Riesgos de Corrupción'!#REF!="Menor"),CONCATENATE("R8C",'Mapa de Riesgos de Corrupción'!#REF!),"")</f>
        <v>#REF!</v>
      </c>
      <c r="T53" s="192" t="e">
        <f>IF(AND('Mapa de Riesgos de Corrupción'!#REF!="Muy Baja",'Mapa de Riesgos de Corrupción'!#REF!="Menor"),CONCATENATE("R8C",'Mapa de Riesgos de Corrupción'!#REF!),"")</f>
        <v>#REF!</v>
      </c>
      <c r="U53" s="193" t="e">
        <f>IF(AND('Mapa de Riesgos de Corrupción'!#REF!="Muy Baja",'Mapa de Riesgos de Corrupción'!#REF!="Menor"),CONCATENATE("R8C",'Mapa de Riesgos de Corrupción'!#REF!),"")</f>
        <v>#REF!</v>
      </c>
      <c r="V53" s="182" t="e">
        <f>IF(AND('Mapa de Riesgos de Corrupción'!#REF!="Muy Baja",'Mapa de Riesgos de Corrupción'!#REF!="Moderado"),CONCATENATE("R8C",'Mapa de Riesgos de Corrupción'!#REF!),"")</f>
        <v>#REF!</v>
      </c>
      <c r="W53" s="183" t="e">
        <f>IF(AND('Mapa de Riesgos de Corrupción'!#REF!="Muy Baja",'Mapa de Riesgos de Corrupción'!#REF!="Moderado"),CONCATENATE("R8C",'Mapa de Riesgos de Corrupción'!#REF!),"")</f>
        <v>#REF!</v>
      </c>
      <c r="X53" s="183" t="e">
        <f>IF(AND('Mapa de Riesgos de Corrupción'!#REF!="Muy Baja",'Mapa de Riesgos de Corrupción'!#REF!="Moderado"),CONCATENATE("R8C",'Mapa de Riesgos de Corrupción'!#REF!),"")</f>
        <v>#REF!</v>
      </c>
      <c r="Y53" s="183" t="e">
        <f>IF(AND('Mapa de Riesgos de Corrupción'!#REF!="Muy Baja",'Mapa de Riesgos de Corrupción'!#REF!="Moderado"),CONCATENATE("R8C",'Mapa de Riesgos de Corrupción'!#REF!),"")</f>
        <v>#REF!</v>
      </c>
      <c r="Z53" s="183" t="e">
        <f>IF(AND('Mapa de Riesgos de Corrupción'!#REF!="Muy Baja",'Mapa de Riesgos de Corrupción'!#REF!="Moderado"),CONCATENATE("R8C",'Mapa de Riesgos de Corrupción'!#REF!),"")</f>
        <v>#REF!</v>
      </c>
      <c r="AA53" s="184" t="e">
        <f>IF(AND('Mapa de Riesgos de Corrupción'!#REF!="Muy Baja",'Mapa de Riesgos de Corrupción'!#REF!="Moderado"),CONCATENATE("R8C",'Mapa de Riesgos de Corrupción'!#REF!),"")</f>
        <v>#REF!</v>
      </c>
      <c r="AB53" s="167" t="e">
        <f>IF(AND('Mapa de Riesgos de Corrupción'!#REF!="Muy Baja",'Mapa de Riesgos de Corrupción'!#REF!="Mayor"),CONCATENATE("R8C",'Mapa de Riesgos de Corrupción'!#REF!),"")</f>
        <v>#REF!</v>
      </c>
      <c r="AC53" s="168" t="e">
        <f>IF(AND('Mapa de Riesgos de Corrupción'!#REF!="Muy Baja",'Mapa de Riesgos de Corrupción'!#REF!="Mayor"),CONCATENATE("R8C",'Mapa de Riesgos de Corrupción'!#REF!),"")</f>
        <v>#REF!</v>
      </c>
      <c r="AD53" s="168" t="e">
        <f>IF(AND('Mapa de Riesgos de Corrupción'!#REF!="Muy Baja",'Mapa de Riesgos de Corrupción'!#REF!="Mayor"),CONCATENATE("R8C",'Mapa de Riesgos de Corrupción'!#REF!),"")</f>
        <v>#REF!</v>
      </c>
      <c r="AE53" s="168" t="e">
        <f>IF(AND('Mapa de Riesgos de Corrupción'!#REF!="Muy Baja",'Mapa de Riesgos de Corrupción'!#REF!="Mayor"),CONCATENATE("R8C",'Mapa de Riesgos de Corrupción'!#REF!),"")</f>
        <v>#REF!</v>
      </c>
      <c r="AF53" s="168" t="e">
        <f>IF(AND('Mapa de Riesgos de Corrupción'!#REF!="Muy Baja",'Mapa de Riesgos de Corrupción'!#REF!="Mayor"),CONCATENATE("R8C",'Mapa de Riesgos de Corrupción'!#REF!),"")</f>
        <v>#REF!</v>
      </c>
      <c r="AG53" s="169" t="e">
        <f>IF(AND('Mapa de Riesgos de Corrupción'!#REF!="Muy Baja",'Mapa de Riesgos de Corrupción'!#REF!="Mayor"),CONCATENATE("R8C",'Mapa de Riesgos de Corrupción'!#REF!),"")</f>
        <v>#REF!</v>
      </c>
      <c r="AH53" s="170" t="e">
        <f>IF(AND('Mapa de Riesgos de Corrupción'!#REF!="Muy Baja",'Mapa de Riesgos de Corrupción'!#REF!="Catastrófico"),CONCATENATE("R8C",'Mapa de Riesgos de Corrupción'!#REF!),"")</f>
        <v>#REF!</v>
      </c>
      <c r="AI53" s="171" t="e">
        <f>IF(AND('Mapa de Riesgos de Corrupción'!#REF!="Muy Baja",'Mapa de Riesgos de Corrupción'!#REF!="Catastrófico"),CONCATENATE("R8C",'Mapa de Riesgos de Corrupción'!#REF!),"")</f>
        <v>#REF!</v>
      </c>
      <c r="AJ53" s="171" t="e">
        <f>IF(AND('Mapa de Riesgos de Corrupción'!#REF!="Muy Baja",'Mapa de Riesgos de Corrupción'!#REF!="Catastrófico"),CONCATENATE("R8C",'Mapa de Riesgos de Corrupción'!#REF!),"")</f>
        <v>#REF!</v>
      </c>
      <c r="AK53" s="171" t="e">
        <f>IF(AND('Mapa de Riesgos de Corrupción'!#REF!="Muy Baja",'Mapa de Riesgos de Corrupción'!#REF!="Catastrófico"),CONCATENATE("R8C",'Mapa de Riesgos de Corrupción'!#REF!),"")</f>
        <v>#REF!</v>
      </c>
      <c r="AL53" s="171" t="e">
        <f>IF(AND('Mapa de Riesgos de Corrupción'!#REF!="Muy Baja",'Mapa de Riesgos de Corrupción'!#REF!="Catastrófico"),CONCATENATE("R8C",'Mapa de Riesgos de Corrupción'!#REF!),"")</f>
        <v>#REF!</v>
      </c>
      <c r="AM53" s="172" t="e">
        <f>IF(AND('Mapa de Riesgos de Corrupción'!#REF!="Muy Baja",'Mapa de Riesgos de Corrupción'!#REF!="Catastrófico"),CONCATENATE("R8C",'Mapa de Riesgos de Corrupción'!#REF!),"")</f>
        <v>#REF!</v>
      </c>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row>
    <row r="54" spans="1:61" ht="15" customHeight="1">
      <c r="A54" s="122"/>
      <c r="B54" s="293"/>
      <c r="C54" s="224"/>
      <c r="D54" s="265"/>
      <c r="E54" s="223"/>
      <c r="F54" s="224"/>
      <c r="G54" s="224"/>
      <c r="H54" s="224"/>
      <c r="I54" s="265"/>
      <c r="J54" s="191" t="e">
        <f>IF(AND('Mapa de Riesgos de Corrupción'!#REF!="Muy Baja",'Mapa de Riesgos de Corrupción'!#REF!="Leve"),CONCATENATE("R9C",'Mapa de Riesgos de Corrupción'!#REF!),"")</f>
        <v>#REF!</v>
      </c>
      <c r="K54" s="192" t="e">
        <f>IF(AND('Mapa de Riesgos de Corrupción'!#REF!="Muy Baja",'Mapa de Riesgos de Corrupción'!#REF!="Leve"),CONCATENATE("R9C",'Mapa de Riesgos de Corrupción'!#REF!),"")</f>
        <v>#REF!</v>
      </c>
      <c r="L54" s="192" t="e">
        <f>IF(AND('Mapa de Riesgos de Corrupción'!#REF!="Muy Baja",'Mapa de Riesgos de Corrupción'!#REF!="Leve"),CONCATENATE("R9C",'Mapa de Riesgos de Corrupción'!#REF!),"")</f>
        <v>#REF!</v>
      </c>
      <c r="M54" s="192" t="e">
        <f>IF(AND('Mapa de Riesgos de Corrupción'!#REF!="Muy Baja",'Mapa de Riesgos de Corrupción'!#REF!="Leve"),CONCATENATE("R9C",'Mapa de Riesgos de Corrupción'!#REF!),"")</f>
        <v>#REF!</v>
      </c>
      <c r="N54" s="192" t="e">
        <f>IF(AND('Mapa de Riesgos de Corrupción'!#REF!="Muy Baja",'Mapa de Riesgos de Corrupción'!#REF!="Leve"),CONCATENATE("R9C",'Mapa de Riesgos de Corrupción'!#REF!),"")</f>
        <v>#REF!</v>
      </c>
      <c r="O54" s="193" t="e">
        <f>IF(AND('Mapa de Riesgos de Corrupción'!#REF!="Muy Baja",'Mapa de Riesgos de Corrupción'!#REF!="Leve"),CONCATENATE("R9C",'Mapa de Riesgos de Corrupción'!#REF!),"")</f>
        <v>#REF!</v>
      </c>
      <c r="P54" s="191" t="e">
        <f>IF(AND('Mapa de Riesgos de Corrupción'!#REF!="Muy Baja",'Mapa de Riesgos de Corrupción'!#REF!="Menor"),CONCATENATE("R9C",'Mapa de Riesgos de Corrupción'!#REF!),"")</f>
        <v>#REF!</v>
      </c>
      <c r="Q54" s="192" t="e">
        <f>IF(AND('Mapa de Riesgos de Corrupción'!#REF!="Muy Baja",'Mapa de Riesgos de Corrupción'!#REF!="Menor"),CONCATENATE("R9C",'Mapa de Riesgos de Corrupción'!#REF!),"")</f>
        <v>#REF!</v>
      </c>
      <c r="R54" s="192" t="e">
        <f>IF(AND('Mapa de Riesgos de Corrupción'!#REF!="Muy Baja",'Mapa de Riesgos de Corrupción'!#REF!="Menor"),CONCATENATE("R9C",'Mapa de Riesgos de Corrupción'!#REF!),"")</f>
        <v>#REF!</v>
      </c>
      <c r="S54" s="192" t="e">
        <f>IF(AND('Mapa de Riesgos de Corrupción'!#REF!="Muy Baja",'Mapa de Riesgos de Corrupción'!#REF!="Menor"),CONCATENATE("R9C",'Mapa de Riesgos de Corrupción'!#REF!),"")</f>
        <v>#REF!</v>
      </c>
      <c r="T54" s="192" t="e">
        <f>IF(AND('Mapa de Riesgos de Corrupción'!#REF!="Muy Baja",'Mapa de Riesgos de Corrupción'!#REF!="Menor"),CONCATENATE("R9C",'Mapa de Riesgos de Corrupción'!#REF!),"")</f>
        <v>#REF!</v>
      </c>
      <c r="U54" s="193" t="e">
        <f>IF(AND('Mapa de Riesgos de Corrupción'!#REF!="Muy Baja",'Mapa de Riesgos de Corrupción'!#REF!="Menor"),CONCATENATE("R9C",'Mapa de Riesgos de Corrupción'!#REF!),"")</f>
        <v>#REF!</v>
      </c>
      <c r="V54" s="182" t="e">
        <f>IF(AND('Mapa de Riesgos de Corrupción'!#REF!="Muy Baja",'Mapa de Riesgos de Corrupción'!#REF!="Moderado"),CONCATENATE("R9C",'Mapa de Riesgos de Corrupción'!#REF!),"")</f>
        <v>#REF!</v>
      </c>
      <c r="W54" s="183" t="e">
        <f>IF(AND('Mapa de Riesgos de Corrupción'!#REF!="Muy Baja",'Mapa de Riesgos de Corrupción'!#REF!="Moderado"),CONCATENATE("R9C",'Mapa de Riesgos de Corrupción'!#REF!),"")</f>
        <v>#REF!</v>
      </c>
      <c r="X54" s="183" t="e">
        <f>IF(AND('Mapa de Riesgos de Corrupción'!#REF!="Muy Baja",'Mapa de Riesgos de Corrupción'!#REF!="Moderado"),CONCATENATE("R9C",'Mapa de Riesgos de Corrupción'!#REF!),"")</f>
        <v>#REF!</v>
      </c>
      <c r="Y54" s="183" t="e">
        <f>IF(AND('Mapa de Riesgos de Corrupción'!#REF!="Muy Baja",'Mapa de Riesgos de Corrupción'!#REF!="Moderado"),CONCATENATE("R9C",'Mapa de Riesgos de Corrupción'!#REF!),"")</f>
        <v>#REF!</v>
      </c>
      <c r="Z54" s="183" t="e">
        <f>IF(AND('Mapa de Riesgos de Corrupción'!#REF!="Muy Baja",'Mapa de Riesgos de Corrupción'!#REF!="Moderado"),CONCATENATE("R9C",'Mapa de Riesgos de Corrupción'!#REF!),"")</f>
        <v>#REF!</v>
      </c>
      <c r="AA54" s="184" t="e">
        <f>IF(AND('Mapa de Riesgos de Corrupción'!#REF!="Muy Baja",'Mapa de Riesgos de Corrupción'!#REF!="Moderado"),CONCATENATE("R9C",'Mapa de Riesgos de Corrupción'!#REF!),"")</f>
        <v>#REF!</v>
      </c>
      <c r="AB54" s="167" t="e">
        <f>IF(AND('Mapa de Riesgos de Corrupción'!#REF!="Muy Baja",'Mapa de Riesgos de Corrupción'!#REF!="Mayor"),CONCATENATE("R9C",'Mapa de Riesgos de Corrupción'!#REF!),"")</f>
        <v>#REF!</v>
      </c>
      <c r="AC54" s="168" t="e">
        <f>IF(AND('Mapa de Riesgos de Corrupción'!#REF!="Muy Baja",'Mapa de Riesgos de Corrupción'!#REF!="Mayor"),CONCATENATE("R9C",'Mapa de Riesgos de Corrupción'!#REF!),"")</f>
        <v>#REF!</v>
      </c>
      <c r="AD54" s="168" t="e">
        <f>IF(AND('Mapa de Riesgos de Corrupción'!#REF!="Muy Baja",'Mapa de Riesgos de Corrupción'!#REF!="Mayor"),CONCATENATE("R9C",'Mapa de Riesgos de Corrupción'!#REF!),"")</f>
        <v>#REF!</v>
      </c>
      <c r="AE54" s="168" t="e">
        <f>IF(AND('Mapa de Riesgos de Corrupción'!#REF!="Muy Baja",'Mapa de Riesgos de Corrupción'!#REF!="Mayor"),CONCATENATE("R9C",'Mapa de Riesgos de Corrupción'!#REF!),"")</f>
        <v>#REF!</v>
      </c>
      <c r="AF54" s="168" t="e">
        <f>IF(AND('Mapa de Riesgos de Corrupción'!#REF!="Muy Baja",'Mapa de Riesgos de Corrupción'!#REF!="Mayor"),CONCATENATE("R9C",'Mapa de Riesgos de Corrupción'!#REF!),"")</f>
        <v>#REF!</v>
      </c>
      <c r="AG54" s="169" t="e">
        <f>IF(AND('Mapa de Riesgos de Corrupción'!#REF!="Muy Baja",'Mapa de Riesgos de Corrupción'!#REF!="Mayor"),CONCATENATE("R9C",'Mapa de Riesgos de Corrupción'!#REF!),"")</f>
        <v>#REF!</v>
      </c>
      <c r="AH54" s="170" t="e">
        <f>IF(AND('Mapa de Riesgos de Corrupción'!#REF!="Muy Baja",'Mapa de Riesgos de Corrupción'!#REF!="Catastrófico"),CONCATENATE("R9C",'Mapa de Riesgos de Corrupción'!#REF!),"")</f>
        <v>#REF!</v>
      </c>
      <c r="AI54" s="171" t="e">
        <f>IF(AND('Mapa de Riesgos de Corrupción'!#REF!="Muy Baja",'Mapa de Riesgos de Corrupción'!#REF!="Catastrófico"),CONCATENATE("R9C",'Mapa de Riesgos de Corrupción'!#REF!),"")</f>
        <v>#REF!</v>
      </c>
      <c r="AJ54" s="171" t="e">
        <f>IF(AND('Mapa de Riesgos de Corrupción'!#REF!="Muy Baja",'Mapa de Riesgos de Corrupción'!#REF!="Catastrófico"),CONCATENATE("R9C",'Mapa de Riesgos de Corrupción'!#REF!),"")</f>
        <v>#REF!</v>
      </c>
      <c r="AK54" s="171" t="e">
        <f>IF(AND('Mapa de Riesgos de Corrupción'!#REF!="Muy Baja",'Mapa de Riesgos de Corrupción'!#REF!="Catastrófico"),CONCATENATE("R9C",'Mapa de Riesgos de Corrupción'!#REF!),"")</f>
        <v>#REF!</v>
      </c>
      <c r="AL54" s="171" t="e">
        <f>IF(AND('Mapa de Riesgos de Corrupción'!#REF!="Muy Baja",'Mapa de Riesgos de Corrupción'!#REF!="Catastrófico"),CONCATENATE("R9C",'Mapa de Riesgos de Corrupción'!#REF!),"")</f>
        <v>#REF!</v>
      </c>
      <c r="AM54" s="172" t="e">
        <f>IF(AND('Mapa de Riesgos de Corrupción'!#REF!="Muy Baja",'Mapa de Riesgos de Corrupción'!#REF!="Catastrófico"),CONCATENATE("R9C",'Mapa de Riesgos de Corrupción'!#REF!),"")</f>
        <v>#REF!</v>
      </c>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row>
    <row r="55" spans="1:61" ht="15.75" customHeight="1">
      <c r="A55" s="122"/>
      <c r="B55" s="293"/>
      <c r="C55" s="224"/>
      <c r="D55" s="265"/>
      <c r="E55" s="225"/>
      <c r="F55" s="226"/>
      <c r="G55" s="226"/>
      <c r="H55" s="226"/>
      <c r="I55" s="301"/>
      <c r="J55" s="194" t="e">
        <f>IF(AND('Mapa de Riesgos de Corrupción'!#REF!="Muy Baja",'Mapa de Riesgos de Corrupción'!#REF!="Leve"),CONCATENATE("R10C",'Mapa de Riesgos de Corrupción'!#REF!),"")</f>
        <v>#REF!</v>
      </c>
      <c r="K55" s="195" t="e">
        <f>IF(AND('Mapa de Riesgos de Corrupción'!#REF!="Muy Baja",'Mapa de Riesgos de Corrupción'!#REF!="Leve"),CONCATENATE("R10C",'Mapa de Riesgos de Corrupción'!#REF!),"")</f>
        <v>#REF!</v>
      </c>
      <c r="L55" s="195" t="e">
        <f>IF(AND('Mapa de Riesgos de Corrupción'!#REF!="Muy Baja",'Mapa de Riesgos de Corrupción'!#REF!="Leve"),CONCATENATE("R10C",'Mapa de Riesgos de Corrupción'!#REF!),"")</f>
        <v>#REF!</v>
      </c>
      <c r="M55" s="195" t="e">
        <f>IF(AND('Mapa de Riesgos de Corrupción'!#REF!="Muy Baja",'Mapa de Riesgos de Corrupción'!#REF!="Leve"),CONCATENATE("R10C",'Mapa de Riesgos de Corrupción'!#REF!),"")</f>
        <v>#REF!</v>
      </c>
      <c r="N55" s="195" t="e">
        <f>IF(AND('Mapa de Riesgos de Corrupción'!#REF!="Muy Baja",'Mapa de Riesgos de Corrupción'!#REF!="Leve"),CONCATENATE("R10C",'Mapa de Riesgos de Corrupción'!#REF!),"")</f>
        <v>#REF!</v>
      </c>
      <c r="O55" s="196" t="e">
        <f>IF(AND('Mapa de Riesgos de Corrupción'!#REF!="Muy Baja",'Mapa de Riesgos de Corrupción'!#REF!="Leve"),CONCATENATE("R10C",'Mapa de Riesgos de Corrupción'!#REF!),"")</f>
        <v>#REF!</v>
      </c>
      <c r="P55" s="194" t="e">
        <f>IF(AND('Mapa de Riesgos de Corrupción'!#REF!="Muy Baja",'Mapa de Riesgos de Corrupción'!#REF!="Menor"),CONCATENATE("R10C",'Mapa de Riesgos de Corrupción'!#REF!),"")</f>
        <v>#REF!</v>
      </c>
      <c r="Q55" s="195" t="e">
        <f>IF(AND('Mapa de Riesgos de Corrupción'!#REF!="Muy Baja",'Mapa de Riesgos de Corrupción'!#REF!="Menor"),CONCATENATE("R10C",'Mapa de Riesgos de Corrupción'!#REF!),"")</f>
        <v>#REF!</v>
      </c>
      <c r="R55" s="195" t="e">
        <f>IF(AND('Mapa de Riesgos de Corrupción'!#REF!="Muy Baja",'Mapa de Riesgos de Corrupción'!#REF!="Menor"),CONCATENATE("R10C",'Mapa de Riesgos de Corrupción'!#REF!),"")</f>
        <v>#REF!</v>
      </c>
      <c r="S55" s="195" t="e">
        <f>IF(AND('Mapa de Riesgos de Corrupción'!#REF!="Muy Baja",'Mapa de Riesgos de Corrupción'!#REF!="Menor"),CONCATENATE("R10C",'Mapa de Riesgos de Corrupción'!#REF!),"")</f>
        <v>#REF!</v>
      </c>
      <c r="T55" s="195" t="e">
        <f>IF(AND('Mapa de Riesgos de Corrupción'!#REF!="Muy Baja",'Mapa de Riesgos de Corrupción'!#REF!="Menor"),CONCATENATE("R10C",'Mapa de Riesgos de Corrupción'!#REF!),"")</f>
        <v>#REF!</v>
      </c>
      <c r="U55" s="196" t="e">
        <f>IF(AND('Mapa de Riesgos de Corrupción'!#REF!="Muy Baja",'Mapa de Riesgos de Corrupción'!#REF!="Menor"),CONCATENATE("R10C",'Mapa de Riesgos de Corrupción'!#REF!),"")</f>
        <v>#REF!</v>
      </c>
      <c r="V55" s="185" t="e">
        <f>IF(AND('Mapa de Riesgos de Corrupción'!#REF!="Muy Baja",'Mapa de Riesgos de Corrupción'!#REF!="Moderado"),CONCATENATE("R10C",'Mapa de Riesgos de Corrupción'!#REF!),"")</f>
        <v>#REF!</v>
      </c>
      <c r="W55" s="186" t="e">
        <f>IF(AND('Mapa de Riesgos de Corrupción'!#REF!="Muy Baja",'Mapa de Riesgos de Corrupción'!#REF!="Moderado"),CONCATENATE("R10C",'Mapa de Riesgos de Corrupción'!#REF!),"")</f>
        <v>#REF!</v>
      </c>
      <c r="X55" s="186" t="e">
        <f>IF(AND('Mapa de Riesgos de Corrupción'!#REF!="Muy Baja",'Mapa de Riesgos de Corrupción'!#REF!="Moderado"),CONCATENATE("R10C",'Mapa de Riesgos de Corrupción'!#REF!),"")</f>
        <v>#REF!</v>
      </c>
      <c r="Y55" s="186" t="e">
        <f>IF(AND('Mapa de Riesgos de Corrupción'!#REF!="Muy Baja",'Mapa de Riesgos de Corrupción'!#REF!="Moderado"),CONCATENATE("R10C",'Mapa de Riesgos de Corrupción'!#REF!),"")</f>
        <v>#REF!</v>
      </c>
      <c r="Z55" s="186" t="e">
        <f>IF(AND('Mapa de Riesgos de Corrupción'!#REF!="Muy Baja",'Mapa de Riesgos de Corrupción'!#REF!="Moderado"),CONCATENATE("R10C",'Mapa de Riesgos de Corrupción'!#REF!),"")</f>
        <v>#REF!</v>
      </c>
      <c r="AA55" s="187" t="e">
        <f>IF(AND('Mapa de Riesgos de Corrupción'!#REF!="Muy Baja",'Mapa de Riesgos de Corrupción'!#REF!="Moderado"),CONCATENATE("R10C",'Mapa de Riesgos de Corrupción'!#REF!),"")</f>
        <v>#REF!</v>
      </c>
      <c r="AB55" s="173" t="e">
        <f>IF(AND('Mapa de Riesgos de Corrupción'!#REF!="Muy Baja",'Mapa de Riesgos de Corrupción'!#REF!="Mayor"),CONCATENATE("R10C",'Mapa de Riesgos de Corrupción'!#REF!),"")</f>
        <v>#REF!</v>
      </c>
      <c r="AC55" s="174" t="e">
        <f>IF(AND('Mapa de Riesgos de Corrupción'!#REF!="Muy Baja",'Mapa de Riesgos de Corrupción'!#REF!="Mayor"),CONCATENATE("R10C",'Mapa de Riesgos de Corrupción'!#REF!),"")</f>
        <v>#REF!</v>
      </c>
      <c r="AD55" s="174" t="e">
        <f>IF(AND('Mapa de Riesgos de Corrupción'!#REF!="Muy Baja",'Mapa de Riesgos de Corrupción'!#REF!="Mayor"),CONCATENATE("R10C",'Mapa de Riesgos de Corrupción'!#REF!),"")</f>
        <v>#REF!</v>
      </c>
      <c r="AE55" s="174" t="e">
        <f>IF(AND('Mapa de Riesgos de Corrupción'!#REF!="Muy Baja",'Mapa de Riesgos de Corrupción'!#REF!="Mayor"),CONCATENATE("R10C",'Mapa de Riesgos de Corrupción'!#REF!),"")</f>
        <v>#REF!</v>
      </c>
      <c r="AF55" s="174" t="e">
        <f>IF(AND('Mapa de Riesgos de Corrupción'!#REF!="Muy Baja",'Mapa de Riesgos de Corrupción'!#REF!="Mayor"),CONCATENATE("R10C",'Mapa de Riesgos de Corrupción'!#REF!),"")</f>
        <v>#REF!</v>
      </c>
      <c r="AG55" s="175" t="e">
        <f>IF(AND('Mapa de Riesgos de Corrupción'!#REF!="Muy Baja",'Mapa de Riesgos de Corrupción'!#REF!="Mayor"),CONCATENATE("R10C",'Mapa de Riesgos de Corrupción'!#REF!),"")</f>
        <v>#REF!</v>
      </c>
      <c r="AH55" s="176" t="e">
        <f>IF(AND('Mapa de Riesgos de Corrupción'!#REF!="Muy Baja",'Mapa de Riesgos de Corrupción'!#REF!="Catastrófico"),CONCATENATE("R10C",'Mapa de Riesgos de Corrupción'!#REF!),"")</f>
        <v>#REF!</v>
      </c>
      <c r="AI55" s="177" t="e">
        <f>IF(AND('Mapa de Riesgos de Corrupción'!#REF!="Muy Baja",'Mapa de Riesgos de Corrupción'!#REF!="Catastrófico"),CONCATENATE("R10C",'Mapa de Riesgos de Corrupción'!#REF!),"")</f>
        <v>#REF!</v>
      </c>
      <c r="AJ55" s="177" t="e">
        <f>IF(AND('Mapa de Riesgos de Corrupción'!#REF!="Muy Baja",'Mapa de Riesgos de Corrupción'!#REF!="Catastrófico"),CONCATENATE("R10C",'Mapa de Riesgos de Corrupción'!#REF!),"")</f>
        <v>#REF!</v>
      </c>
      <c r="AK55" s="177" t="e">
        <f>IF(AND('Mapa de Riesgos de Corrupción'!#REF!="Muy Baja",'Mapa de Riesgos de Corrupción'!#REF!="Catastrófico"),CONCATENATE("R10C",'Mapa de Riesgos de Corrupción'!#REF!),"")</f>
        <v>#REF!</v>
      </c>
      <c r="AL55" s="177" t="e">
        <f>IF(AND('Mapa de Riesgos de Corrupción'!#REF!="Muy Baja",'Mapa de Riesgos de Corrupción'!#REF!="Catastrófico"),CONCATENATE("R10C",'Mapa de Riesgos de Corrupción'!#REF!),"")</f>
        <v>#REF!</v>
      </c>
      <c r="AM55" s="178" t="e">
        <f>IF(AND('Mapa de Riesgos de Corrupción'!#REF!="Muy Baja",'Mapa de Riesgos de Corrupción'!#REF!="Catastrófico"),CONCATENATE("R10C",'Mapa de Riesgos de Corrupción'!#REF!),"")</f>
        <v>#REF!</v>
      </c>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row>
    <row r="56" spans="1:61" ht="15.75" customHeight="1">
      <c r="A56" s="122"/>
      <c r="B56" s="122"/>
      <c r="C56" s="122"/>
      <c r="D56" s="122"/>
      <c r="E56" s="122"/>
      <c r="F56" s="122"/>
      <c r="G56" s="122"/>
      <c r="H56" s="122"/>
      <c r="I56" s="122"/>
      <c r="J56" s="335" t="s">
        <v>509</v>
      </c>
      <c r="K56" s="222"/>
      <c r="L56" s="222"/>
      <c r="M56" s="222"/>
      <c r="N56" s="222"/>
      <c r="O56" s="303"/>
      <c r="P56" s="335" t="s">
        <v>510</v>
      </c>
      <c r="Q56" s="222"/>
      <c r="R56" s="222"/>
      <c r="S56" s="222"/>
      <c r="T56" s="222"/>
      <c r="U56" s="303"/>
      <c r="V56" s="335" t="s">
        <v>511</v>
      </c>
      <c r="W56" s="222"/>
      <c r="X56" s="222"/>
      <c r="Y56" s="222"/>
      <c r="Z56" s="222"/>
      <c r="AA56" s="303"/>
      <c r="AB56" s="335" t="s">
        <v>512</v>
      </c>
      <c r="AC56" s="222"/>
      <c r="AD56" s="222"/>
      <c r="AE56" s="222"/>
      <c r="AF56" s="222"/>
      <c r="AG56" s="303"/>
      <c r="AH56" s="335" t="s">
        <v>513</v>
      </c>
      <c r="AI56" s="222"/>
      <c r="AJ56" s="222"/>
      <c r="AK56" s="222"/>
      <c r="AL56" s="222"/>
      <c r="AM56" s="303"/>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row>
    <row r="57" spans="1:61" ht="15.75" customHeight="1">
      <c r="A57" s="122"/>
      <c r="B57" s="122"/>
      <c r="C57" s="122"/>
      <c r="D57" s="122"/>
      <c r="E57" s="122"/>
      <c r="F57" s="122"/>
      <c r="G57" s="122"/>
      <c r="H57" s="122"/>
      <c r="I57" s="122"/>
      <c r="J57" s="223"/>
      <c r="K57" s="224"/>
      <c r="L57" s="224"/>
      <c r="M57" s="224"/>
      <c r="N57" s="224"/>
      <c r="O57" s="265"/>
      <c r="P57" s="223"/>
      <c r="Q57" s="224"/>
      <c r="R57" s="224"/>
      <c r="S57" s="224"/>
      <c r="T57" s="224"/>
      <c r="U57" s="265"/>
      <c r="V57" s="223"/>
      <c r="W57" s="224"/>
      <c r="X57" s="224"/>
      <c r="Y57" s="224"/>
      <c r="Z57" s="224"/>
      <c r="AA57" s="265"/>
      <c r="AB57" s="223"/>
      <c r="AC57" s="224"/>
      <c r="AD57" s="224"/>
      <c r="AE57" s="224"/>
      <c r="AF57" s="224"/>
      <c r="AG57" s="265"/>
      <c r="AH57" s="223"/>
      <c r="AI57" s="224"/>
      <c r="AJ57" s="224"/>
      <c r="AK57" s="224"/>
      <c r="AL57" s="224"/>
      <c r="AM57" s="265"/>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row>
    <row r="58" spans="1:61" ht="15.75" customHeight="1">
      <c r="A58" s="122"/>
      <c r="B58" s="122"/>
      <c r="C58" s="122"/>
      <c r="D58" s="122"/>
      <c r="E58" s="122"/>
      <c r="F58" s="122"/>
      <c r="G58" s="122"/>
      <c r="H58" s="122"/>
      <c r="I58" s="122"/>
      <c r="J58" s="223"/>
      <c r="K58" s="224"/>
      <c r="L58" s="224"/>
      <c r="M58" s="224"/>
      <c r="N58" s="224"/>
      <c r="O58" s="265"/>
      <c r="P58" s="223"/>
      <c r="Q58" s="224"/>
      <c r="R58" s="224"/>
      <c r="S58" s="224"/>
      <c r="T58" s="224"/>
      <c r="U58" s="265"/>
      <c r="V58" s="223"/>
      <c r="W58" s="224"/>
      <c r="X58" s="224"/>
      <c r="Y58" s="224"/>
      <c r="Z58" s="224"/>
      <c r="AA58" s="265"/>
      <c r="AB58" s="223"/>
      <c r="AC58" s="224"/>
      <c r="AD58" s="224"/>
      <c r="AE58" s="224"/>
      <c r="AF58" s="224"/>
      <c r="AG58" s="265"/>
      <c r="AH58" s="223"/>
      <c r="AI58" s="224"/>
      <c r="AJ58" s="224"/>
      <c r="AK58" s="224"/>
      <c r="AL58" s="224"/>
      <c r="AM58" s="265"/>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row>
    <row r="59" spans="1:61" ht="15.75" customHeight="1">
      <c r="A59" s="122"/>
      <c r="B59" s="122"/>
      <c r="C59" s="122"/>
      <c r="D59" s="122"/>
      <c r="E59" s="122"/>
      <c r="F59" s="122"/>
      <c r="G59" s="122"/>
      <c r="H59" s="122"/>
      <c r="I59" s="122"/>
      <c r="J59" s="223"/>
      <c r="K59" s="224"/>
      <c r="L59" s="224"/>
      <c r="M59" s="224"/>
      <c r="N59" s="224"/>
      <c r="O59" s="265"/>
      <c r="P59" s="223"/>
      <c r="Q59" s="224"/>
      <c r="R59" s="224"/>
      <c r="S59" s="224"/>
      <c r="T59" s="224"/>
      <c r="U59" s="265"/>
      <c r="V59" s="223"/>
      <c r="W59" s="224"/>
      <c r="X59" s="224"/>
      <c r="Y59" s="224"/>
      <c r="Z59" s="224"/>
      <c r="AA59" s="265"/>
      <c r="AB59" s="223"/>
      <c r="AC59" s="224"/>
      <c r="AD59" s="224"/>
      <c r="AE59" s="224"/>
      <c r="AF59" s="224"/>
      <c r="AG59" s="265"/>
      <c r="AH59" s="223"/>
      <c r="AI59" s="224"/>
      <c r="AJ59" s="224"/>
      <c r="AK59" s="224"/>
      <c r="AL59" s="224"/>
      <c r="AM59" s="265"/>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row>
    <row r="60" spans="1:61" ht="15.75" customHeight="1">
      <c r="A60" s="122"/>
      <c r="B60" s="122"/>
      <c r="C60" s="122"/>
      <c r="D60" s="122"/>
      <c r="E60" s="122"/>
      <c r="F60" s="122"/>
      <c r="G60" s="122"/>
      <c r="H60" s="122"/>
      <c r="I60" s="122"/>
      <c r="J60" s="223"/>
      <c r="K60" s="224"/>
      <c r="L60" s="224"/>
      <c r="M60" s="224"/>
      <c r="N60" s="224"/>
      <c r="O60" s="265"/>
      <c r="P60" s="223"/>
      <c r="Q60" s="224"/>
      <c r="R60" s="224"/>
      <c r="S60" s="224"/>
      <c r="T60" s="224"/>
      <c r="U60" s="265"/>
      <c r="V60" s="223"/>
      <c r="W60" s="224"/>
      <c r="X60" s="224"/>
      <c r="Y60" s="224"/>
      <c r="Z60" s="224"/>
      <c r="AA60" s="265"/>
      <c r="AB60" s="223"/>
      <c r="AC60" s="224"/>
      <c r="AD60" s="224"/>
      <c r="AE60" s="224"/>
      <c r="AF60" s="224"/>
      <c r="AG60" s="265"/>
      <c r="AH60" s="223"/>
      <c r="AI60" s="224"/>
      <c r="AJ60" s="224"/>
      <c r="AK60" s="224"/>
      <c r="AL60" s="224"/>
      <c r="AM60" s="265"/>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row>
    <row r="61" spans="1:61" ht="15.75" customHeight="1">
      <c r="A61" s="122"/>
      <c r="B61" s="122"/>
      <c r="C61" s="122"/>
      <c r="D61" s="122"/>
      <c r="E61" s="122"/>
      <c r="F61" s="122"/>
      <c r="G61" s="122"/>
      <c r="H61" s="122"/>
      <c r="I61" s="122"/>
      <c r="J61" s="225"/>
      <c r="K61" s="226"/>
      <c r="L61" s="226"/>
      <c r="M61" s="226"/>
      <c r="N61" s="226"/>
      <c r="O61" s="301"/>
      <c r="P61" s="225"/>
      <c r="Q61" s="226"/>
      <c r="R61" s="226"/>
      <c r="S61" s="226"/>
      <c r="T61" s="226"/>
      <c r="U61" s="301"/>
      <c r="V61" s="225"/>
      <c r="W61" s="226"/>
      <c r="X61" s="226"/>
      <c r="Y61" s="226"/>
      <c r="Z61" s="226"/>
      <c r="AA61" s="301"/>
      <c r="AB61" s="225"/>
      <c r="AC61" s="226"/>
      <c r="AD61" s="226"/>
      <c r="AE61" s="226"/>
      <c r="AF61" s="226"/>
      <c r="AG61" s="301"/>
      <c r="AH61" s="225"/>
      <c r="AI61" s="226"/>
      <c r="AJ61" s="226"/>
      <c r="AK61" s="226"/>
      <c r="AL61" s="226"/>
      <c r="AM61" s="301"/>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row>
    <row r="62" spans="1:61"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1" ht="15" customHeight="1">
      <c r="A63" s="12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2"/>
      <c r="AV63" s="122"/>
      <c r="AW63" s="122"/>
      <c r="AX63" s="122"/>
      <c r="AY63" s="122"/>
      <c r="AZ63" s="122"/>
      <c r="BA63" s="122"/>
      <c r="BB63" s="122"/>
      <c r="BC63" s="122"/>
      <c r="BD63" s="122"/>
      <c r="BE63" s="122"/>
      <c r="BF63" s="122"/>
      <c r="BG63" s="122"/>
      <c r="BH63" s="122"/>
    </row>
    <row r="64" spans="1:61" ht="15" customHeight="1">
      <c r="A64" s="122"/>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2"/>
      <c r="AV64" s="122"/>
      <c r="AW64" s="122"/>
      <c r="AX64" s="122"/>
      <c r="AY64" s="122"/>
      <c r="AZ64" s="122"/>
      <c r="BA64" s="122"/>
      <c r="BB64" s="122"/>
      <c r="BC64" s="122"/>
      <c r="BD64" s="122"/>
      <c r="BE64" s="122"/>
      <c r="BF64" s="122"/>
      <c r="BG64" s="122"/>
      <c r="BH64" s="122"/>
    </row>
    <row r="65" spans="1:60"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row>
    <row r="66" spans="1:60"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row>
    <row r="67" spans="1:60"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row>
    <row r="68" spans="1:60"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row>
    <row r="69" spans="1:60"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row>
    <row r="70" spans="1:60"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row>
    <row r="71" spans="1:60"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1:60"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1:60"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row>
    <row r="74" spans="1:60"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row>
    <row r="75" spans="1:60"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row>
    <row r="76" spans="1:60"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row>
    <row r="77" spans="1:60"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60"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60"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row>
    <row r="80" spans="1:60"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row>
    <row r="81" spans="1:60"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1:60"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1:60"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row>
    <row r="84" spans="1:60"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row>
    <row r="85" spans="1:60"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row>
    <row r="86" spans="1:60"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row>
    <row r="87" spans="1:60"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1:60"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1:60"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row>
    <row r="90" spans="1:60"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row>
    <row r="91" spans="1:60"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row>
    <row r="92" spans="1:60"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1:60"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1:60"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row r="95" spans="1:60"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row>
    <row r="96" spans="1:60"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row>
    <row r="97" spans="1:60"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row>
    <row r="98" spans="1:60"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row>
    <row r="99" spans="1:60"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row>
    <row r="101" spans="1:60"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1:60"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row>
    <row r="109" spans="1:60"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row>
    <row r="110" spans="1:60"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row>
    <row r="111" spans="1:60"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row>
    <row r="112" spans="1:60"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row>
    <row r="113" spans="1:60"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row>
    <row r="114" spans="1:60"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row>
    <row r="115" spans="1:60"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row>
    <row r="116" spans="1:60"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row>
    <row r="117" spans="1:60"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row>
    <row r="118" spans="1:60"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row>
    <row r="119" spans="1:60"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row>
    <row r="120" spans="1:60"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row>
    <row r="121" spans="1:60"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row>
    <row r="122" spans="1:60" ht="15.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row>
    <row r="123" spans="1:60" ht="15.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row>
    <row r="124" spans="1:60" ht="15.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row>
    <row r="125" spans="1:60" ht="15.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row>
    <row r="126" spans="1:60" ht="15.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row>
    <row r="127" spans="1:60" ht="15.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row>
    <row r="128" spans="1:60" ht="15.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1:60" ht="15.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1:60" ht="15.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row>
    <row r="131" spans="1:60" ht="15.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row>
    <row r="132" spans="1:60" ht="15.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1:60" ht="15.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1:60" ht="15.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row>
    <row r="135" spans="1:60" ht="15.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1:60" ht="15.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1:60" ht="15.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1:60" ht="15.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1:60" ht="15.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row>
    <row r="140" spans="1:60" ht="15.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row>
    <row r="141" spans="1:60" ht="15.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row>
    <row r="142" spans="1:60" ht="15.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row>
    <row r="143" spans="1:60" ht="15.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row>
    <row r="144" spans="1:60" ht="15.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row>
    <row r="145" spans="1:60" ht="15.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row>
    <row r="146" spans="1:60" ht="15.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row>
    <row r="147" spans="1:60" ht="15.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row>
    <row r="148" spans="1:60" ht="15.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row>
    <row r="149" spans="1:60" ht="15.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row>
    <row r="150" spans="1:60" ht="15.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row>
    <row r="151" spans="1:60" ht="15.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row>
    <row r="152" spans="1:60" ht="15.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row>
    <row r="153" spans="1:60" ht="15.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row>
    <row r="154" spans="1:60" ht="15.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1:60" ht="15.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1:60" ht="15.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1:60" ht="15.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1:60" ht="15.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1:60" ht="15.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1:60" ht="15.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1:60" ht="15.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1:60" ht="15.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row>
    <row r="163" spans="1:60" ht="15.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row>
    <row r="164" spans="1:60" ht="15.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row>
    <row r="165" spans="1:60" ht="15.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row>
    <row r="166" spans="1:60" ht="15.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1:60" ht="15.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row>
    <row r="168" spans="1:60" ht="15.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row>
    <row r="169" spans="1:60" ht="15.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row>
    <row r="170" spans="1:60" ht="15.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row>
    <row r="171" spans="1:60" ht="15.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row>
    <row r="172" spans="1:60" ht="15.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row>
    <row r="173" spans="1:60" ht="15.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row>
    <row r="174" spans="1:60" ht="15.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row>
    <row r="175" spans="1:60" ht="15.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row>
    <row r="176" spans="1:60" ht="15.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row>
    <row r="177" spans="1:60" ht="15.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1:60" ht="15.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row>
    <row r="179" spans="1:60" ht="15.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1:60" ht="15.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row>
    <row r="181" spans="1:60" ht="15.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1:60" ht="15.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1:60" ht="15.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row>
    <row r="184" spans="1:60" ht="15.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row>
    <row r="185" spans="1:60" ht="15.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row>
    <row r="186" spans="1:60" ht="15.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row>
    <row r="187" spans="1:60" ht="15.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row>
    <row r="188" spans="1:60" ht="15.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row>
    <row r="189" spans="1:60" ht="15.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row>
    <row r="190" spans="1:60" ht="15.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row>
    <row r="191" spans="1:60" ht="15.75" customHeight="1">
      <c r="A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row>
    <row r="192" spans="1:60" ht="15.75" customHeight="1">
      <c r="A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row>
    <row r="193" spans="1:60" ht="15.75" customHeight="1">
      <c r="A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row>
    <row r="194" spans="1:60" ht="15.75" customHeight="1">
      <c r="A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row>
    <row r="195" spans="1:60" ht="15.75" customHeight="1">
      <c r="A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row>
    <row r="196" spans="1:60" ht="15.75" customHeight="1">
      <c r="A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row>
    <row r="197" spans="1:60" ht="15.75" customHeight="1">
      <c r="A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row>
    <row r="198" spans="1:60" ht="15.75" customHeight="1">
      <c r="A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row>
    <row r="199" spans="1:60" ht="15.75" customHeight="1">
      <c r="A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row>
    <row r="200" spans="1:60" ht="15.75" customHeight="1">
      <c r="A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row>
    <row r="201" spans="1:60" ht="15.75" customHeight="1">
      <c r="A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row>
    <row r="202" spans="1:60" ht="15.75" customHeight="1">
      <c r="A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row>
    <row r="203" spans="1:60" ht="15.75" customHeight="1">
      <c r="A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row>
    <row r="204" spans="1:60" ht="15.75" customHeight="1">
      <c r="A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row>
    <row r="205" spans="1:60" ht="15.75" customHeight="1">
      <c r="A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row>
    <row r="206" spans="1:60" ht="15.75" customHeight="1">
      <c r="A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row>
    <row r="207" spans="1:60" ht="15.75" customHeight="1">
      <c r="A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row>
    <row r="208" spans="1:60" ht="15.75" customHeight="1">
      <c r="A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row>
    <row r="209" spans="1:60" ht="15.75" customHeight="1">
      <c r="A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row>
    <row r="210" spans="1:60" ht="15.75" customHeight="1">
      <c r="A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row>
    <row r="211" spans="1:60" ht="15.75" customHeight="1">
      <c r="A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row>
    <row r="212" spans="1:60" ht="15.75" customHeight="1">
      <c r="A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row>
    <row r="213" spans="1:60" ht="15.75" customHeight="1">
      <c r="A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row>
    <row r="214" spans="1:60" ht="15.75" customHeight="1">
      <c r="A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row>
    <row r="215" spans="1:60" ht="15.75" customHeight="1">
      <c r="A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row>
    <row r="216" spans="1:60" ht="15.75" customHeight="1">
      <c r="A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row>
    <row r="217" spans="1:60" ht="15.75" customHeight="1">
      <c r="A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row>
    <row r="218" spans="1:60" ht="15.75" customHeight="1">
      <c r="A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row>
    <row r="219" spans="1:60" ht="15.75" customHeight="1">
      <c r="A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row>
    <row r="220" spans="1:60" ht="15.75" customHeight="1">
      <c r="A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row>
    <row r="221" spans="1:60" ht="15.75" customHeight="1">
      <c r="A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row>
    <row r="222" spans="1:60" ht="15.75" customHeight="1">
      <c r="A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row>
    <row r="223" spans="1:60" ht="15.75" customHeight="1">
      <c r="A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row>
    <row r="224" spans="1:60" ht="15.75" customHeight="1">
      <c r="A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row>
    <row r="225" spans="1:60" ht="15.75" customHeight="1">
      <c r="A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row>
    <row r="226" spans="1:60" ht="15.75" customHeight="1">
      <c r="A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row>
    <row r="227" spans="1:60" ht="15.75" customHeight="1">
      <c r="A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row>
    <row r="228" spans="1:60" ht="15.75" customHeight="1">
      <c r="A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row>
    <row r="229" spans="1:60" ht="15.75" customHeight="1">
      <c r="A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row>
    <row r="230" spans="1:60" ht="15.75" customHeight="1">
      <c r="A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row>
    <row r="231" spans="1:60" ht="15.75" customHeight="1">
      <c r="A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row>
    <row r="232" spans="1:60" ht="15.75" customHeight="1">
      <c r="A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row>
    <row r="233" spans="1:60" ht="15.75" customHeight="1">
      <c r="A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row>
    <row r="234" spans="1:60" ht="15.75" customHeight="1">
      <c r="A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row>
    <row r="235" spans="1:60" ht="15.75" customHeight="1">
      <c r="A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row>
    <row r="236" spans="1:60" ht="15.75" customHeight="1">
      <c r="A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row>
    <row r="237" spans="1:60" ht="15.75" customHeight="1">
      <c r="A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row>
    <row r="238" spans="1:60" ht="15.75" customHeight="1">
      <c r="A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row>
    <row r="239" spans="1:60" ht="15.75" customHeight="1">
      <c r="A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row>
    <row r="240" spans="1:60" ht="15.75" customHeight="1">
      <c r="A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row>
    <row r="241" spans="1:60" ht="15.75" customHeight="1">
      <c r="A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row>
    <row r="242" spans="1:60" ht="15.75" customHeight="1">
      <c r="A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row>
    <row r="243" spans="1:60" ht="15.75" customHeight="1">
      <c r="A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row>
    <row r="244" spans="1:60" ht="15.75" customHeight="1">
      <c r="A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row>
    <row r="245" spans="1:60" ht="15.75" customHeight="1">
      <c r="A245" s="122"/>
    </row>
    <row r="246" spans="1:60" ht="15.75" customHeight="1">
      <c r="A246" s="122"/>
    </row>
    <row r="247" spans="1:60" ht="15.75" customHeight="1">
      <c r="A247" s="122"/>
    </row>
    <row r="248" spans="1:60" ht="15.75" customHeight="1">
      <c r="A248" s="122"/>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40" t="s">
        <v>579</v>
      </c>
      <c r="C1" s="228"/>
      <c r="D1" s="228"/>
      <c r="E1" s="228"/>
      <c r="F1" s="229"/>
      <c r="G1" s="1"/>
      <c r="H1" s="1"/>
      <c r="I1" s="1"/>
      <c r="J1" s="1"/>
      <c r="K1" s="1"/>
      <c r="L1" s="1"/>
      <c r="M1" s="1"/>
      <c r="N1" s="1"/>
      <c r="O1" s="1"/>
      <c r="P1" s="1"/>
      <c r="Q1" s="1"/>
      <c r="R1" s="1"/>
      <c r="S1" s="1"/>
      <c r="T1" s="1"/>
      <c r="U1" s="1"/>
      <c r="V1" s="1"/>
      <c r="W1" s="1"/>
      <c r="X1" s="1"/>
      <c r="Y1" s="1"/>
      <c r="Z1" s="1"/>
    </row>
    <row r="2" spans="1:26" ht="12.75" customHeight="1">
      <c r="A2" s="1"/>
      <c r="B2" s="198"/>
      <c r="C2" s="198"/>
      <c r="D2" s="198"/>
      <c r="E2" s="198"/>
      <c r="F2" s="198"/>
      <c r="G2" s="1"/>
      <c r="H2" s="1"/>
      <c r="I2" s="1"/>
      <c r="J2" s="1"/>
      <c r="K2" s="1"/>
      <c r="L2" s="1"/>
      <c r="M2" s="1"/>
      <c r="N2" s="1"/>
      <c r="O2" s="1"/>
      <c r="P2" s="1"/>
      <c r="Q2" s="1"/>
      <c r="R2" s="1"/>
      <c r="S2" s="1"/>
      <c r="T2" s="1"/>
      <c r="U2" s="1"/>
      <c r="V2" s="1"/>
      <c r="W2" s="1"/>
      <c r="X2" s="1"/>
      <c r="Y2" s="1"/>
      <c r="Z2" s="1"/>
    </row>
    <row r="3" spans="1:26" ht="12.75" customHeight="1">
      <c r="A3" s="1"/>
      <c r="B3" s="341" t="s">
        <v>580</v>
      </c>
      <c r="C3" s="228"/>
      <c r="D3" s="342"/>
      <c r="E3" s="199" t="s">
        <v>581</v>
      </c>
      <c r="F3" s="200" t="s">
        <v>582</v>
      </c>
      <c r="G3" s="1"/>
      <c r="H3" s="1"/>
      <c r="I3" s="1"/>
      <c r="J3" s="1"/>
      <c r="K3" s="1"/>
      <c r="L3" s="1"/>
      <c r="M3" s="1"/>
      <c r="N3" s="1"/>
      <c r="O3" s="1"/>
      <c r="P3" s="1"/>
      <c r="Q3" s="1"/>
      <c r="R3" s="1"/>
      <c r="S3" s="1"/>
      <c r="T3" s="1"/>
      <c r="U3" s="1"/>
      <c r="V3" s="1"/>
      <c r="W3" s="1"/>
      <c r="X3" s="1"/>
      <c r="Y3" s="1"/>
      <c r="Z3" s="1"/>
    </row>
    <row r="4" spans="1:26" ht="12.75" customHeight="1">
      <c r="A4" s="1"/>
      <c r="B4" s="343" t="s">
        <v>583</v>
      </c>
      <c r="C4" s="346" t="s">
        <v>40</v>
      </c>
      <c r="D4" s="201" t="s">
        <v>65</v>
      </c>
      <c r="E4" s="202" t="s">
        <v>584</v>
      </c>
      <c r="F4" s="203">
        <v>0.25</v>
      </c>
      <c r="G4" s="1"/>
      <c r="H4" s="1"/>
      <c r="I4" s="1"/>
      <c r="J4" s="1"/>
      <c r="K4" s="1"/>
      <c r="L4" s="1"/>
      <c r="M4" s="1"/>
      <c r="N4" s="1"/>
      <c r="O4" s="1"/>
      <c r="P4" s="1"/>
      <c r="Q4" s="1"/>
      <c r="R4" s="1"/>
      <c r="S4" s="1"/>
      <c r="T4" s="1"/>
      <c r="U4" s="1"/>
      <c r="V4" s="1"/>
      <c r="W4" s="1"/>
      <c r="X4" s="1"/>
      <c r="Y4" s="1"/>
      <c r="Z4" s="1"/>
    </row>
    <row r="5" spans="1:26" ht="12.75" customHeight="1">
      <c r="A5" s="1"/>
      <c r="B5" s="344"/>
      <c r="C5" s="347"/>
      <c r="D5" s="204" t="s">
        <v>269</v>
      </c>
      <c r="E5" s="205" t="s">
        <v>585</v>
      </c>
      <c r="F5" s="206">
        <v>0.15</v>
      </c>
      <c r="G5" s="1"/>
      <c r="H5" s="1"/>
      <c r="I5" s="1"/>
      <c r="J5" s="1"/>
      <c r="K5" s="1"/>
      <c r="L5" s="1"/>
      <c r="M5" s="1"/>
      <c r="N5" s="1"/>
      <c r="O5" s="1"/>
      <c r="P5" s="1"/>
      <c r="Q5" s="1"/>
      <c r="R5" s="1"/>
      <c r="S5" s="1"/>
      <c r="T5" s="1"/>
      <c r="U5" s="1"/>
      <c r="V5" s="1"/>
      <c r="W5" s="1"/>
      <c r="X5" s="1"/>
      <c r="Y5" s="1"/>
      <c r="Z5" s="1"/>
    </row>
    <row r="6" spans="1:26" ht="12.75" customHeight="1">
      <c r="A6" s="1"/>
      <c r="B6" s="344"/>
      <c r="C6" s="338"/>
      <c r="D6" s="204" t="s">
        <v>586</v>
      </c>
      <c r="E6" s="205" t="s">
        <v>587</v>
      </c>
      <c r="F6" s="206">
        <v>0.1</v>
      </c>
      <c r="G6" s="1"/>
      <c r="H6" s="1"/>
      <c r="I6" s="1"/>
      <c r="J6" s="1"/>
      <c r="K6" s="1"/>
      <c r="L6" s="1"/>
      <c r="M6" s="1"/>
      <c r="N6" s="1"/>
      <c r="O6" s="1"/>
      <c r="P6" s="1"/>
      <c r="Q6" s="1"/>
      <c r="R6" s="1"/>
      <c r="S6" s="1"/>
      <c r="T6" s="1"/>
      <c r="U6" s="1"/>
      <c r="V6" s="1"/>
      <c r="W6" s="1"/>
      <c r="X6" s="1"/>
      <c r="Y6" s="1"/>
      <c r="Z6" s="1"/>
    </row>
    <row r="7" spans="1:26" ht="12.75" customHeight="1">
      <c r="A7" s="1"/>
      <c r="B7" s="344"/>
      <c r="C7" s="337" t="s">
        <v>41</v>
      </c>
      <c r="D7" s="204" t="s">
        <v>588</v>
      </c>
      <c r="E7" s="205" t="s">
        <v>589</v>
      </c>
      <c r="F7" s="206">
        <v>0.25</v>
      </c>
      <c r="G7" s="1"/>
      <c r="H7" s="1"/>
      <c r="I7" s="1"/>
      <c r="J7" s="1"/>
      <c r="K7" s="1"/>
      <c r="L7" s="1"/>
      <c r="M7" s="1"/>
      <c r="N7" s="1"/>
      <c r="O7" s="1"/>
      <c r="P7" s="1"/>
      <c r="Q7" s="1"/>
      <c r="R7" s="1"/>
      <c r="S7" s="1"/>
      <c r="T7" s="1"/>
      <c r="U7" s="1"/>
      <c r="V7" s="1"/>
      <c r="W7" s="1"/>
      <c r="X7" s="1"/>
      <c r="Y7" s="1"/>
      <c r="Z7" s="1"/>
    </row>
    <row r="8" spans="1:26" ht="12.75" customHeight="1">
      <c r="A8" s="1"/>
      <c r="B8" s="345"/>
      <c r="C8" s="338"/>
      <c r="D8" s="204" t="s">
        <v>66</v>
      </c>
      <c r="E8" s="205" t="s">
        <v>590</v>
      </c>
      <c r="F8" s="206">
        <v>0.15</v>
      </c>
      <c r="G8" s="1"/>
      <c r="H8" s="1"/>
      <c r="I8" s="1"/>
      <c r="J8" s="1"/>
      <c r="K8" s="1"/>
      <c r="L8" s="1"/>
      <c r="M8" s="1"/>
      <c r="N8" s="1"/>
      <c r="O8" s="1"/>
      <c r="P8" s="1"/>
      <c r="Q8" s="1"/>
      <c r="R8" s="1"/>
      <c r="S8" s="1"/>
      <c r="T8" s="1"/>
      <c r="U8" s="1"/>
      <c r="V8" s="1"/>
      <c r="W8" s="1"/>
      <c r="X8" s="1"/>
      <c r="Y8" s="1"/>
      <c r="Z8" s="1"/>
    </row>
    <row r="9" spans="1:26" ht="12.75" customHeight="1">
      <c r="A9" s="1"/>
      <c r="B9" s="348" t="s">
        <v>591</v>
      </c>
      <c r="C9" s="337" t="s">
        <v>43</v>
      </c>
      <c r="D9" s="204" t="s">
        <v>67</v>
      </c>
      <c r="E9" s="205" t="s">
        <v>592</v>
      </c>
      <c r="F9" s="207" t="s">
        <v>593</v>
      </c>
      <c r="G9" s="1"/>
      <c r="H9" s="1"/>
      <c r="I9" s="1"/>
      <c r="J9" s="1"/>
      <c r="K9" s="1"/>
      <c r="L9" s="1"/>
      <c r="M9" s="1"/>
      <c r="N9" s="1"/>
      <c r="O9" s="1"/>
      <c r="P9" s="1"/>
      <c r="Q9" s="1"/>
      <c r="R9" s="1"/>
      <c r="S9" s="1"/>
      <c r="T9" s="1"/>
      <c r="U9" s="1"/>
      <c r="V9" s="1"/>
      <c r="W9" s="1"/>
      <c r="X9" s="1"/>
      <c r="Y9" s="1"/>
      <c r="Z9" s="1"/>
    </row>
    <row r="10" spans="1:26" ht="12.75" customHeight="1">
      <c r="A10" s="1"/>
      <c r="B10" s="344"/>
      <c r="C10" s="338"/>
      <c r="D10" s="204" t="s">
        <v>230</v>
      </c>
      <c r="E10" s="205" t="s">
        <v>594</v>
      </c>
      <c r="F10" s="207" t="s">
        <v>593</v>
      </c>
      <c r="G10" s="1"/>
      <c r="H10" s="1"/>
      <c r="I10" s="1"/>
      <c r="J10" s="1"/>
      <c r="K10" s="1"/>
      <c r="L10" s="1"/>
      <c r="M10" s="1"/>
      <c r="N10" s="1"/>
      <c r="O10" s="1"/>
      <c r="P10" s="1"/>
      <c r="Q10" s="1"/>
      <c r="R10" s="1"/>
      <c r="S10" s="1"/>
      <c r="T10" s="1"/>
      <c r="U10" s="1"/>
      <c r="V10" s="1"/>
      <c r="W10" s="1"/>
      <c r="X10" s="1"/>
      <c r="Y10" s="1"/>
      <c r="Z10" s="1"/>
    </row>
    <row r="11" spans="1:26" ht="12.75" customHeight="1">
      <c r="A11" s="1"/>
      <c r="B11" s="344"/>
      <c r="C11" s="337" t="s">
        <v>44</v>
      </c>
      <c r="D11" s="204" t="s">
        <v>68</v>
      </c>
      <c r="E11" s="205" t="s">
        <v>595</v>
      </c>
      <c r="F11" s="207" t="s">
        <v>593</v>
      </c>
      <c r="G11" s="1"/>
      <c r="H11" s="1"/>
      <c r="I11" s="1"/>
      <c r="J11" s="1"/>
      <c r="K11" s="1"/>
      <c r="L11" s="1"/>
      <c r="M11" s="1"/>
      <c r="N11" s="1"/>
      <c r="O11" s="1"/>
      <c r="P11" s="1"/>
      <c r="Q11" s="1"/>
      <c r="R11" s="1"/>
      <c r="S11" s="1"/>
      <c r="T11" s="1"/>
      <c r="U11" s="1"/>
      <c r="V11" s="1"/>
      <c r="W11" s="1"/>
      <c r="X11" s="1"/>
      <c r="Y11" s="1"/>
      <c r="Z11" s="1"/>
    </row>
    <row r="12" spans="1:26" ht="12.75" customHeight="1">
      <c r="A12" s="1"/>
      <c r="B12" s="344"/>
      <c r="C12" s="338"/>
      <c r="D12" s="204" t="s">
        <v>596</v>
      </c>
      <c r="E12" s="205" t="s">
        <v>597</v>
      </c>
      <c r="F12" s="207" t="s">
        <v>593</v>
      </c>
      <c r="G12" s="1"/>
      <c r="H12" s="1"/>
      <c r="I12" s="1"/>
      <c r="J12" s="1"/>
      <c r="K12" s="1"/>
      <c r="L12" s="1"/>
      <c r="M12" s="1"/>
      <c r="N12" s="1"/>
      <c r="O12" s="1"/>
      <c r="P12" s="1"/>
      <c r="Q12" s="1"/>
      <c r="R12" s="1"/>
      <c r="S12" s="1"/>
      <c r="T12" s="1"/>
      <c r="U12" s="1"/>
      <c r="V12" s="1"/>
      <c r="W12" s="1"/>
      <c r="X12" s="1"/>
      <c r="Y12" s="1"/>
      <c r="Z12" s="1"/>
    </row>
    <row r="13" spans="1:26" ht="12.75" customHeight="1">
      <c r="A13" s="1"/>
      <c r="B13" s="344"/>
      <c r="C13" s="337" t="s">
        <v>45</v>
      </c>
      <c r="D13" s="204" t="s">
        <v>69</v>
      </c>
      <c r="E13" s="205" t="s">
        <v>598</v>
      </c>
      <c r="F13" s="207" t="s">
        <v>593</v>
      </c>
      <c r="G13" s="1"/>
      <c r="H13" s="1"/>
      <c r="I13" s="1"/>
      <c r="J13" s="1"/>
      <c r="K13" s="1"/>
      <c r="L13" s="1"/>
      <c r="M13" s="1"/>
      <c r="N13" s="1"/>
      <c r="O13" s="1"/>
      <c r="P13" s="1"/>
      <c r="Q13" s="1"/>
      <c r="R13" s="1"/>
      <c r="S13" s="1"/>
      <c r="T13" s="1"/>
      <c r="U13" s="1"/>
      <c r="V13" s="1"/>
      <c r="W13" s="1"/>
      <c r="X13" s="1"/>
      <c r="Y13" s="1"/>
      <c r="Z13" s="1"/>
    </row>
    <row r="14" spans="1:26" ht="12.75" customHeight="1">
      <c r="A14" s="1"/>
      <c r="B14" s="349"/>
      <c r="C14" s="339"/>
      <c r="D14" s="208" t="s">
        <v>599</v>
      </c>
      <c r="E14" s="209" t="s">
        <v>600</v>
      </c>
      <c r="F14" s="210" t="s">
        <v>593</v>
      </c>
      <c r="G14" s="1"/>
      <c r="H14" s="1"/>
      <c r="I14" s="1"/>
      <c r="J14" s="1"/>
      <c r="K14" s="1"/>
      <c r="L14" s="1"/>
      <c r="M14" s="1"/>
      <c r="N14" s="1"/>
      <c r="O14" s="1"/>
      <c r="P14" s="1"/>
      <c r="Q14" s="1"/>
      <c r="R14" s="1"/>
      <c r="S14" s="1"/>
      <c r="T14" s="1"/>
      <c r="U14" s="1"/>
      <c r="V14" s="1"/>
      <c r="W14" s="1"/>
      <c r="X14" s="1"/>
      <c r="Y14" s="1"/>
      <c r="Z14" s="1"/>
    </row>
    <row r="15" spans="1:26" ht="49.5" customHeight="1">
      <c r="A15" s="1"/>
      <c r="B15" s="350" t="s">
        <v>601</v>
      </c>
      <c r="C15" s="289"/>
      <c r="D15" s="289"/>
      <c r="E15" s="289"/>
      <c r="F15" s="289"/>
      <c r="G15" s="1"/>
      <c r="H15" s="1"/>
      <c r="I15" s="1"/>
      <c r="J15" s="1"/>
      <c r="K15" s="1"/>
      <c r="L15" s="1"/>
      <c r="M15" s="1"/>
      <c r="N15" s="1"/>
      <c r="O15" s="1"/>
      <c r="P15" s="1"/>
      <c r="Q15" s="1"/>
      <c r="R15" s="1"/>
      <c r="S15" s="1"/>
      <c r="T15" s="1"/>
      <c r="U15" s="1"/>
      <c r="V15" s="1"/>
      <c r="W15" s="1"/>
      <c r="X15" s="1"/>
      <c r="Y15" s="1"/>
      <c r="Z15" s="1"/>
    </row>
    <row r="16" spans="1:26" ht="27" customHeight="1">
      <c r="A16" s="1"/>
      <c r="B16" s="21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3" width="10.7109375" customWidth="1"/>
  </cols>
  <sheetData>
    <row r="1" spans="1:26" ht="14.25" customHeight="1">
      <c r="A1" s="212"/>
      <c r="B1" s="213"/>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14.25" customHeight="1">
      <c r="A2" s="214" t="s">
        <v>602</v>
      </c>
      <c r="B2" s="214" t="s">
        <v>603</v>
      </c>
      <c r="C2" s="214" t="s">
        <v>604</v>
      </c>
      <c r="D2" s="126"/>
      <c r="E2" s="126"/>
      <c r="F2" s="126"/>
      <c r="G2" s="126"/>
      <c r="H2" s="126"/>
      <c r="I2" s="126"/>
      <c r="J2" s="126"/>
      <c r="K2" s="126"/>
      <c r="L2" s="126"/>
      <c r="M2" s="126"/>
      <c r="N2" s="126"/>
      <c r="O2" s="126"/>
      <c r="P2" s="126"/>
      <c r="Q2" s="126"/>
      <c r="R2" s="126"/>
      <c r="S2" s="126"/>
      <c r="T2" s="126"/>
      <c r="U2" s="126"/>
      <c r="V2" s="126"/>
      <c r="W2" s="126"/>
      <c r="X2" s="126"/>
      <c r="Y2" s="126"/>
      <c r="Z2" s="126"/>
    </row>
    <row r="3" spans="1:26" ht="14.25" customHeight="1">
      <c r="A3" s="351" t="s">
        <v>605</v>
      </c>
      <c r="B3" s="216" t="s">
        <v>606</v>
      </c>
      <c r="C3" s="217" t="s">
        <v>607</v>
      </c>
      <c r="D3" s="126"/>
      <c r="E3" s="126"/>
      <c r="F3" s="126"/>
      <c r="G3" s="126"/>
      <c r="H3" s="126"/>
      <c r="I3" s="126"/>
      <c r="J3" s="126"/>
      <c r="K3" s="126"/>
      <c r="L3" s="126"/>
      <c r="M3" s="126"/>
      <c r="N3" s="126"/>
      <c r="O3" s="126"/>
      <c r="P3" s="126"/>
      <c r="Q3" s="126"/>
      <c r="R3" s="126"/>
      <c r="S3" s="126"/>
      <c r="T3" s="126"/>
      <c r="U3" s="126"/>
      <c r="V3" s="126"/>
      <c r="W3" s="126"/>
      <c r="X3" s="126"/>
      <c r="Y3" s="126"/>
      <c r="Z3" s="126"/>
    </row>
    <row r="4" spans="1:26" ht="14.25" customHeight="1">
      <c r="A4" s="347"/>
      <c r="B4" s="216" t="s">
        <v>608</v>
      </c>
      <c r="C4" s="217" t="s">
        <v>609</v>
      </c>
      <c r="D4" s="126"/>
      <c r="E4" s="126"/>
      <c r="F4" s="126"/>
      <c r="G4" s="126"/>
      <c r="H4" s="126"/>
      <c r="I4" s="126"/>
      <c r="J4" s="126"/>
      <c r="K4" s="126"/>
      <c r="L4" s="126"/>
      <c r="M4" s="126"/>
      <c r="N4" s="126"/>
      <c r="O4" s="126"/>
      <c r="P4" s="126"/>
      <c r="Q4" s="126"/>
      <c r="R4" s="126"/>
      <c r="S4" s="126"/>
      <c r="T4" s="126"/>
      <c r="U4" s="126"/>
      <c r="V4" s="126"/>
      <c r="W4" s="126"/>
      <c r="X4" s="126"/>
      <c r="Y4" s="126"/>
      <c r="Z4" s="126"/>
    </row>
    <row r="5" spans="1:26" ht="14.25" customHeight="1">
      <c r="A5" s="338"/>
      <c r="B5" s="216" t="s">
        <v>610</v>
      </c>
      <c r="C5" s="218" t="s">
        <v>611</v>
      </c>
      <c r="D5" s="126"/>
      <c r="E5" s="126"/>
      <c r="F5" s="126"/>
      <c r="G5" s="126"/>
      <c r="H5" s="126"/>
      <c r="I5" s="126"/>
      <c r="J5" s="126"/>
      <c r="K5" s="126"/>
      <c r="L5" s="126"/>
      <c r="M5" s="126"/>
      <c r="N5" s="126"/>
      <c r="O5" s="126"/>
      <c r="P5" s="126"/>
      <c r="Q5" s="126"/>
      <c r="R5" s="126"/>
      <c r="S5" s="126"/>
      <c r="T5" s="126"/>
      <c r="U5" s="126"/>
      <c r="V5" s="126"/>
      <c r="W5" s="126"/>
      <c r="X5" s="126"/>
      <c r="Y5" s="126"/>
      <c r="Z5" s="126"/>
    </row>
    <row r="6" spans="1:26" ht="14.25" customHeight="1">
      <c r="A6" s="351" t="s">
        <v>612</v>
      </c>
      <c r="B6" s="216" t="s">
        <v>606</v>
      </c>
      <c r="C6" s="217" t="s">
        <v>613</v>
      </c>
      <c r="D6" s="126"/>
      <c r="E6" s="126"/>
      <c r="F6" s="126"/>
      <c r="G6" s="126"/>
      <c r="H6" s="126"/>
      <c r="I6" s="126"/>
      <c r="J6" s="126"/>
      <c r="K6" s="126"/>
      <c r="L6" s="126"/>
      <c r="M6" s="126"/>
      <c r="N6" s="126"/>
      <c r="O6" s="126"/>
      <c r="P6" s="126"/>
      <c r="Q6" s="126"/>
      <c r="R6" s="126"/>
      <c r="S6" s="126"/>
      <c r="T6" s="126"/>
      <c r="U6" s="126"/>
      <c r="V6" s="126"/>
      <c r="W6" s="126"/>
      <c r="X6" s="126"/>
      <c r="Y6" s="126"/>
      <c r="Z6" s="126"/>
    </row>
    <row r="7" spans="1:26" ht="14.25" customHeight="1">
      <c r="A7" s="347"/>
      <c r="B7" s="215" t="s">
        <v>608</v>
      </c>
      <c r="C7" s="218" t="s">
        <v>614</v>
      </c>
      <c r="D7" s="126"/>
      <c r="E7" s="126"/>
      <c r="F7" s="126"/>
      <c r="G7" s="126"/>
      <c r="H7" s="126"/>
      <c r="I7" s="126"/>
      <c r="J7" s="126"/>
      <c r="K7" s="126"/>
      <c r="L7" s="126"/>
      <c r="M7" s="126"/>
      <c r="N7" s="126"/>
      <c r="O7" s="126"/>
      <c r="P7" s="126"/>
      <c r="Q7" s="126"/>
      <c r="R7" s="126"/>
      <c r="S7" s="126"/>
      <c r="T7" s="126"/>
      <c r="U7" s="126"/>
      <c r="V7" s="126"/>
      <c r="W7" s="126"/>
      <c r="X7" s="126"/>
      <c r="Y7" s="126"/>
      <c r="Z7" s="126"/>
    </row>
    <row r="8" spans="1:26" ht="14.25" customHeight="1">
      <c r="A8" s="347"/>
      <c r="B8" s="351" t="s">
        <v>610</v>
      </c>
      <c r="C8" s="218" t="s">
        <v>615</v>
      </c>
      <c r="D8" s="126"/>
      <c r="E8" s="126"/>
      <c r="F8" s="126"/>
      <c r="G8" s="126"/>
      <c r="H8" s="126"/>
      <c r="I8" s="126"/>
      <c r="J8" s="126"/>
      <c r="K8" s="126"/>
      <c r="L8" s="126"/>
      <c r="M8" s="126"/>
      <c r="N8" s="126"/>
      <c r="O8" s="126"/>
      <c r="P8" s="126"/>
      <c r="Q8" s="126"/>
      <c r="R8" s="126"/>
      <c r="S8" s="126"/>
      <c r="T8" s="126"/>
      <c r="U8" s="126"/>
      <c r="V8" s="126"/>
      <c r="W8" s="126"/>
      <c r="X8" s="126"/>
      <c r="Y8" s="126"/>
      <c r="Z8" s="126"/>
    </row>
    <row r="9" spans="1:26" ht="14.25" customHeight="1">
      <c r="A9" s="338"/>
      <c r="B9" s="338"/>
      <c r="C9" s="218" t="s">
        <v>616</v>
      </c>
      <c r="D9" s="126"/>
      <c r="E9" s="126"/>
      <c r="F9" s="126"/>
      <c r="G9" s="126"/>
      <c r="H9" s="126"/>
      <c r="I9" s="126"/>
      <c r="J9" s="126"/>
      <c r="K9" s="126"/>
      <c r="L9" s="126"/>
      <c r="M9" s="126"/>
      <c r="N9" s="126"/>
      <c r="O9" s="126"/>
      <c r="P9" s="126"/>
      <c r="Q9" s="126"/>
      <c r="R9" s="126"/>
      <c r="S9" s="126"/>
      <c r="T9" s="126"/>
      <c r="U9" s="126"/>
      <c r="V9" s="126"/>
      <c r="W9" s="126"/>
      <c r="X9" s="126"/>
      <c r="Y9" s="126"/>
      <c r="Z9" s="126"/>
    </row>
    <row r="10" spans="1:26" ht="14.25" customHeight="1">
      <c r="A10" s="126"/>
      <c r="B10" s="213"/>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14.25" customHeight="1">
      <c r="A11" s="126"/>
      <c r="B11" s="213"/>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14.25" customHeight="1">
      <c r="A12" s="126"/>
      <c r="B12" s="213"/>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14.25" customHeight="1">
      <c r="A13" s="126"/>
      <c r="B13" s="213"/>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14.25" customHeight="1">
      <c r="A14" s="126"/>
      <c r="B14" s="213"/>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14.25" customHeight="1">
      <c r="A15" s="126"/>
      <c r="B15" s="213"/>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14.25" customHeight="1">
      <c r="A16" s="126"/>
      <c r="B16" s="213"/>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14.25" customHeight="1">
      <c r="A17" s="126"/>
      <c r="B17" s="213"/>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14.25" customHeight="1">
      <c r="A18" s="126"/>
      <c r="B18" s="213"/>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4.25" customHeight="1">
      <c r="A19" s="126"/>
      <c r="B19" s="213"/>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14.25" customHeight="1">
      <c r="A20" s="126"/>
      <c r="B20" s="213"/>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4.25" customHeight="1">
      <c r="A21" s="126"/>
      <c r="B21" s="213"/>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4.25" customHeight="1">
      <c r="A22" s="126"/>
      <c r="B22" s="213"/>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4.25" customHeight="1">
      <c r="A23" s="126"/>
      <c r="B23" s="213"/>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4.25" customHeight="1">
      <c r="A24" s="126"/>
      <c r="B24" s="213"/>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4.25" customHeight="1">
      <c r="A25" s="126"/>
      <c r="B25" s="213"/>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4.25" customHeight="1">
      <c r="A26" s="126"/>
      <c r="B26" s="213"/>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4.25" customHeight="1">
      <c r="A27" s="126"/>
      <c r="B27" s="213"/>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4.25" customHeight="1">
      <c r="A28" s="126"/>
      <c r="B28" s="213"/>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4.25" customHeight="1">
      <c r="A29" s="126"/>
      <c r="B29" s="213"/>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4.25" customHeight="1">
      <c r="A30" s="126"/>
      <c r="B30" s="213"/>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4.25" customHeight="1">
      <c r="A31" s="126"/>
      <c r="B31" s="213"/>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4.25" customHeight="1">
      <c r="A32" s="126"/>
      <c r="B32" s="213"/>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4.25" customHeight="1">
      <c r="A33" s="126"/>
      <c r="B33" s="213"/>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4.25" customHeight="1">
      <c r="A34" s="126"/>
      <c r="B34" s="213"/>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4.25" customHeight="1">
      <c r="A35" s="126"/>
      <c r="B35" s="213"/>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4.25" customHeight="1">
      <c r="A36" s="126"/>
      <c r="B36" s="213"/>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4.25" customHeight="1">
      <c r="A37" s="126"/>
      <c r="B37" s="213"/>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4.25" customHeight="1">
      <c r="A38" s="126"/>
      <c r="B38" s="213"/>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4.25" customHeight="1">
      <c r="A39" s="126"/>
      <c r="B39" s="213"/>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4.25" customHeight="1">
      <c r="A40" s="126"/>
      <c r="B40" s="213"/>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4.25" customHeight="1">
      <c r="A41" s="126"/>
      <c r="B41" s="213"/>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4.25" customHeight="1">
      <c r="A42" s="126"/>
      <c r="B42" s="213"/>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4.25" customHeight="1">
      <c r="A43" s="126"/>
      <c r="B43" s="213"/>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4.25" customHeight="1">
      <c r="A44" s="126"/>
      <c r="B44" s="213"/>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4.25" customHeight="1">
      <c r="A45" s="126"/>
      <c r="B45" s="213"/>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4.25" customHeight="1">
      <c r="A46" s="126"/>
      <c r="B46" s="213"/>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4.25" customHeight="1">
      <c r="A47" s="126"/>
      <c r="B47" s="213"/>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4.25" customHeight="1">
      <c r="A48" s="126"/>
      <c r="B48" s="213"/>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4.25" customHeight="1">
      <c r="A49" s="126"/>
      <c r="B49" s="213"/>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4.25" customHeight="1">
      <c r="A50" s="126"/>
      <c r="B50" s="213"/>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4.25" customHeight="1">
      <c r="A51" s="126"/>
      <c r="B51" s="213"/>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4.25" customHeight="1">
      <c r="A52" s="126"/>
      <c r="B52" s="213"/>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4.25" customHeight="1">
      <c r="A53" s="126"/>
      <c r="B53" s="213"/>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4.25" customHeight="1">
      <c r="A54" s="126"/>
      <c r="B54" s="213"/>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4.25" customHeight="1">
      <c r="A55" s="126"/>
      <c r="B55" s="213"/>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4.25" customHeight="1">
      <c r="A56" s="126"/>
      <c r="B56" s="213"/>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4.25" customHeight="1">
      <c r="A57" s="126"/>
      <c r="B57" s="213"/>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4.25" customHeight="1">
      <c r="A58" s="126"/>
      <c r="B58" s="213"/>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4.25" customHeight="1">
      <c r="A59" s="126"/>
      <c r="B59" s="213"/>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4.25" customHeight="1">
      <c r="A60" s="126"/>
      <c r="B60" s="213"/>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4.25" customHeight="1">
      <c r="A61" s="126"/>
      <c r="B61" s="213"/>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4.25" customHeight="1">
      <c r="A62" s="126"/>
      <c r="B62" s="213"/>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4.25" customHeight="1">
      <c r="A63" s="126"/>
      <c r="B63" s="213"/>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4.25" customHeight="1">
      <c r="A64" s="126"/>
      <c r="B64" s="213"/>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4.25" customHeight="1">
      <c r="A65" s="126"/>
      <c r="B65" s="213"/>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4.25" customHeight="1">
      <c r="A66" s="126"/>
      <c r="B66" s="213"/>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4.25" customHeight="1">
      <c r="A67" s="126"/>
      <c r="B67" s="213"/>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4.25" customHeight="1">
      <c r="A68" s="126"/>
      <c r="B68" s="213"/>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4.25" customHeight="1">
      <c r="A69" s="126"/>
      <c r="B69" s="213"/>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4.25" customHeight="1">
      <c r="A70" s="126"/>
      <c r="B70" s="213"/>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4.25" customHeight="1">
      <c r="A71" s="126"/>
      <c r="B71" s="213"/>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4.25" customHeight="1">
      <c r="A72" s="126"/>
      <c r="B72" s="213"/>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4.25" customHeight="1">
      <c r="A73" s="126"/>
      <c r="B73" s="213"/>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4.25" customHeight="1">
      <c r="A74" s="126"/>
      <c r="B74" s="213"/>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4.25" customHeight="1">
      <c r="A75" s="126"/>
      <c r="B75" s="213"/>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4.25" customHeight="1">
      <c r="A76" s="126"/>
      <c r="B76" s="213"/>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4.25" customHeight="1">
      <c r="A77" s="126"/>
      <c r="B77" s="213"/>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4.25" customHeight="1">
      <c r="A78" s="126"/>
      <c r="B78" s="213"/>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4.25" customHeight="1">
      <c r="A79" s="126"/>
      <c r="B79" s="213"/>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4.25" customHeight="1">
      <c r="A80" s="126"/>
      <c r="B80" s="213"/>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4.25" customHeight="1">
      <c r="A81" s="126"/>
      <c r="B81" s="213"/>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4.25" customHeight="1">
      <c r="A82" s="126"/>
      <c r="B82" s="213"/>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4.25" customHeight="1">
      <c r="A83" s="126"/>
      <c r="B83" s="213"/>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4.25" customHeight="1">
      <c r="A84" s="126"/>
      <c r="B84" s="213"/>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4.25" customHeight="1">
      <c r="A85" s="126"/>
      <c r="B85" s="213"/>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4.25" customHeight="1">
      <c r="A86" s="126"/>
      <c r="B86" s="213"/>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4.25" customHeight="1">
      <c r="A87" s="126"/>
      <c r="B87" s="213"/>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4.25" customHeight="1">
      <c r="A88" s="126"/>
      <c r="B88" s="213"/>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4.25" customHeight="1">
      <c r="A89" s="126"/>
      <c r="B89" s="213"/>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4.25" customHeight="1">
      <c r="A90" s="126"/>
      <c r="B90" s="213"/>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4.25" customHeight="1">
      <c r="A91" s="126"/>
      <c r="B91" s="213"/>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4.25" customHeight="1">
      <c r="A92" s="126"/>
      <c r="B92" s="213"/>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4.25" customHeight="1">
      <c r="A93" s="126"/>
      <c r="B93" s="213"/>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4.25" customHeight="1">
      <c r="A94" s="126"/>
      <c r="B94" s="213"/>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4.25" customHeight="1">
      <c r="A95" s="126"/>
      <c r="B95" s="213"/>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4.25" customHeight="1">
      <c r="A96" s="126"/>
      <c r="B96" s="213"/>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4.25" customHeight="1">
      <c r="A97" s="126"/>
      <c r="B97" s="213"/>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4.25" customHeight="1">
      <c r="A98" s="126"/>
      <c r="B98" s="213"/>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4.25" customHeight="1">
      <c r="A99" s="126"/>
      <c r="B99" s="213"/>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4.25" customHeight="1">
      <c r="A100" s="126"/>
      <c r="B100" s="213"/>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4.25" customHeight="1">
      <c r="A101" s="126"/>
      <c r="B101" s="213"/>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4.25" customHeight="1">
      <c r="A102" s="126"/>
      <c r="B102" s="213"/>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4.25" customHeight="1">
      <c r="A103" s="126"/>
      <c r="B103" s="213"/>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4.25" customHeight="1">
      <c r="A104" s="126"/>
      <c r="B104" s="213"/>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4.25" customHeight="1">
      <c r="A105" s="126"/>
      <c r="B105" s="213"/>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4.25" customHeight="1">
      <c r="A106" s="126"/>
      <c r="B106" s="213"/>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4.25" customHeight="1">
      <c r="A107" s="126"/>
      <c r="B107" s="213"/>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4.25" customHeight="1">
      <c r="A108" s="126"/>
      <c r="B108" s="213"/>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4.25" customHeight="1">
      <c r="A109" s="126"/>
      <c r="B109" s="213"/>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4.25" customHeight="1">
      <c r="A110" s="126"/>
      <c r="B110" s="213"/>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4.25" customHeight="1">
      <c r="A111" s="126"/>
      <c r="B111" s="213"/>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4.25" customHeight="1">
      <c r="A112" s="126"/>
      <c r="B112" s="213"/>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4.25" customHeight="1">
      <c r="A113" s="126"/>
      <c r="B113" s="213"/>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4.25" customHeight="1">
      <c r="A114" s="126"/>
      <c r="B114" s="213"/>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4.25" customHeight="1">
      <c r="A115" s="126"/>
      <c r="B115" s="213"/>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4.25" customHeight="1">
      <c r="A116" s="126"/>
      <c r="B116" s="213"/>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4.25" customHeight="1">
      <c r="A117" s="126"/>
      <c r="B117" s="213"/>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4.25" customHeight="1">
      <c r="A118" s="126"/>
      <c r="B118" s="213"/>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4.25" customHeight="1">
      <c r="A119" s="126"/>
      <c r="B119" s="213"/>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4.25" customHeight="1">
      <c r="A120" s="126"/>
      <c r="B120" s="213"/>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4.25" customHeight="1">
      <c r="A121" s="126"/>
      <c r="B121" s="213"/>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4.25" customHeight="1">
      <c r="A122" s="126"/>
      <c r="B122" s="213"/>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4.25" customHeight="1">
      <c r="A123" s="126"/>
      <c r="B123" s="213"/>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4.25" customHeight="1">
      <c r="A124" s="126"/>
      <c r="B124" s="213"/>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4.25" customHeight="1">
      <c r="A125" s="126"/>
      <c r="B125" s="213"/>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4.25" customHeight="1">
      <c r="A126" s="126"/>
      <c r="B126" s="213"/>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4.25" customHeight="1">
      <c r="A127" s="126"/>
      <c r="B127" s="213"/>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4.25" customHeight="1">
      <c r="A128" s="126"/>
      <c r="B128" s="213"/>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4.25" customHeight="1">
      <c r="A129" s="126"/>
      <c r="B129" s="213"/>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4.25" customHeight="1">
      <c r="A130" s="126"/>
      <c r="B130" s="213"/>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4.25" customHeight="1">
      <c r="A131" s="126"/>
      <c r="B131" s="213"/>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4.25" customHeight="1">
      <c r="A132" s="126"/>
      <c r="B132" s="213"/>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4.25" customHeight="1">
      <c r="A133" s="126"/>
      <c r="B133" s="213"/>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4.25" customHeight="1">
      <c r="A134" s="126"/>
      <c r="B134" s="213"/>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4.25" customHeight="1">
      <c r="A135" s="126"/>
      <c r="B135" s="213"/>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4.25" customHeight="1">
      <c r="A136" s="126"/>
      <c r="B136" s="213"/>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4.25" customHeight="1">
      <c r="A137" s="126"/>
      <c r="B137" s="213"/>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4.25" customHeight="1">
      <c r="A138" s="126"/>
      <c r="B138" s="213"/>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4.25" customHeight="1">
      <c r="A139" s="126"/>
      <c r="B139" s="213"/>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4.25" customHeight="1">
      <c r="A140" s="126"/>
      <c r="B140" s="213"/>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4.25" customHeight="1">
      <c r="A141" s="126"/>
      <c r="B141" s="213"/>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4.25" customHeight="1">
      <c r="A142" s="126"/>
      <c r="B142" s="213"/>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4.25" customHeight="1">
      <c r="A143" s="126"/>
      <c r="B143" s="213"/>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4.25" customHeight="1">
      <c r="A144" s="126"/>
      <c r="B144" s="213"/>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4.25" customHeight="1">
      <c r="A145" s="126"/>
      <c r="B145" s="213"/>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4.25" customHeight="1">
      <c r="A146" s="126"/>
      <c r="B146" s="213"/>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4.25" customHeight="1">
      <c r="A147" s="126"/>
      <c r="B147" s="213"/>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4.25" customHeight="1">
      <c r="A148" s="126"/>
      <c r="B148" s="213"/>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4.25" customHeight="1">
      <c r="A149" s="126"/>
      <c r="B149" s="213"/>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4.25" customHeight="1">
      <c r="A150" s="126"/>
      <c r="B150" s="213"/>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4.25" customHeight="1">
      <c r="A151" s="126"/>
      <c r="B151" s="213"/>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4.25" customHeight="1">
      <c r="A152" s="126"/>
      <c r="B152" s="213"/>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4.25" customHeight="1">
      <c r="A153" s="126"/>
      <c r="B153" s="213"/>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4.25" customHeight="1">
      <c r="A154" s="126"/>
      <c r="B154" s="213"/>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4.25" customHeight="1">
      <c r="A155" s="126"/>
      <c r="B155" s="213"/>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4.25" customHeight="1">
      <c r="A156" s="126"/>
      <c r="B156" s="213"/>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4.25" customHeight="1">
      <c r="A157" s="126"/>
      <c r="B157" s="213"/>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4.25" customHeight="1">
      <c r="A158" s="126"/>
      <c r="B158" s="213"/>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4.25" customHeight="1">
      <c r="A159" s="126"/>
      <c r="B159" s="213"/>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4.25" customHeight="1">
      <c r="A160" s="126"/>
      <c r="B160" s="213"/>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4.25" customHeight="1">
      <c r="A161" s="126"/>
      <c r="B161" s="213"/>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4.25" customHeight="1">
      <c r="A162" s="126"/>
      <c r="B162" s="213"/>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4.25" customHeight="1">
      <c r="A163" s="126"/>
      <c r="B163" s="213"/>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4.25" customHeight="1">
      <c r="A164" s="126"/>
      <c r="B164" s="213"/>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4.25" customHeight="1">
      <c r="A165" s="126"/>
      <c r="B165" s="213"/>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4.25" customHeight="1">
      <c r="A166" s="126"/>
      <c r="B166" s="213"/>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4.25" customHeight="1">
      <c r="A167" s="126"/>
      <c r="B167" s="213"/>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4.25" customHeight="1">
      <c r="A168" s="126"/>
      <c r="B168" s="213"/>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4.25" customHeight="1">
      <c r="A169" s="126"/>
      <c r="B169" s="213"/>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4.25" customHeight="1">
      <c r="A170" s="126"/>
      <c r="B170" s="213"/>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4.25" customHeight="1">
      <c r="A171" s="126"/>
      <c r="B171" s="213"/>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4.25" customHeight="1">
      <c r="A172" s="126"/>
      <c r="B172" s="213"/>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4.25" customHeight="1">
      <c r="A173" s="126"/>
      <c r="B173" s="213"/>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4.25" customHeight="1">
      <c r="A174" s="126"/>
      <c r="B174" s="213"/>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4.25" customHeight="1">
      <c r="A175" s="126"/>
      <c r="B175" s="213"/>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4.25" customHeight="1">
      <c r="A176" s="126"/>
      <c r="B176" s="213"/>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4.25" customHeight="1">
      <c r="A177" s="126"/>
      <c r="B177" s="213"/>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4.25" customHeight="1">
      <c r="A178" s="126"/>
      <c r="B178" s="213"/>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4.25" customHeight="1">
      <c r="A179" s="126"/>
      <c r="B179" s="213"/>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4.25" customHeight="1">
      <c r="A180" s="126"/>
      <c r="B180" s="213"/>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4.25" customHeight="1">
      <c r="A181" s="126"/>
      <c r="B181" s="213"/>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4.25" customHeight="1">
      <c r="A182" s="126"/>
      <c r="B182" s="213"/>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4.25" customHeight="1">
      <c r="A183" s="126"/>
      <c r="B183" s="213"/>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4.25" customHeight="1">
      <c r="A184" s="126"/>
      <c r="B184" s="213"/>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4.25" customHeight="1">
      <c r="A185" s="126"/>
      <c r="B185" s="213"/>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4.25" customHeight="1">
      <c r="A186" s="126"/>
      <c r="B186" s="213"/>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4.25" customHeight="1">
      <c r="A187" s="126"/>
      <c r="B187" s="213"/>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4.25" customHeight="1">
      <c r="A188" s="126"/>
      <c r="B188" s="213"/>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4.25" customHeight="1">
      <c r="A189" s="126"/>
      <c r="B189" s="213"/>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4.25" customHeight="1">
      <c r="A190" s="126"/>
      <c r="B190" s="213"/>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4.25" customHeight="1">
      <c r="A191" s="126"/>
      <c r="B191" s="213"/>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4.25" customHeight="1">
      <c r="A192" s="126"/>
      <c r="B192" s="213"/>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4.25" customHeight="1">
      <c r="A193" s="126"/>
      <c r="B193" s="213"/>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4.25" customHeight="1">
      <c r="A194" s="126"/>
      <c r="B194" s="213"/>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4.25" customHeight="1">
      <c r="A195" s="126"/>
      <c r="B195" s="213"/>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4.25" customHeight="1">
      <c r="A196" s="126"/>
      <c r="B196" s="213"/>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4.25" customHeight="1">
      <c r="A197" s="126"/>
      <c r="B197" s="213"/>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4.25" customHeight="1">
      <c r="A198" s="126"/>
      <c r="B198" s="213"/>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4.25" customHeight="1">
      <c r="A199" s="126"/>
      <c r="B199" s="213"/>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4.25" customHeight="1">
      <c r="A200" s="126"/>
      <c r="B200" s="213"/>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4.25" customHeight="1">
      <c r="A201" s="126"/>
      <c r="B201" s="213"/>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4.25" customHeight="1">
      <c r="A202" s="126"/>
      <c r="B202" s="213"/>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4.25" customHeight="1">
      <c r="A203" s="126"/>
      <c r="B203" s="213"/>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4.25" customHeight="1">
      <c r="A204" s="126"/>
      <c r="B204" s="213"/>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4.25" customHeight="1">
      <c r="A205" s="126"/>
      <c r="B205" s="213"/>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4.25" customHeight="1">
      <c r="A206" s="126"/>
      <c r="B206" s="213"/>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4.25" customHeight="1">
      <c r="A207" s="126"/>
      <c r="B207" s="213"/>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4.25" customHeight="1">
      <c r="A208" s="126"/>
      <c r="B208" s="213"/>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4.25" customHeight="1">
      <c r="A209" s="126"/>
      <c r="B209" s="213"/>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4.25" customHeight="1">
      <c r="A210" s="126"/>
      <c r="B210" s="213"/>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4.25" customHeight="1">
      <c r="A211" s="126"/>
      <c r="B211" s="213"/>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4.25" customHeight="1">
      <c r="A212" s="126"/>
      <c r="B212" s="213"/>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4.25" customHeight="1">
      <c r="A213" s="126"/>
      <c r="B213" s="213"/>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4.25" customHeight="1">
      <c r="A214" s="126"/>
      <c r="B214" s="213"/>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4.25" customHeight="1">
      <c r="A215" s="126"/>
      <c r="B215" s="213"/>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4.25" customHeight="1">
      <c r="A216" s="126"/>
      <c r="B216" s="213"/>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4.25" customHeight="1">
      <c r="A217" s="126"/>
      <c r="B217" s="213"/>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4.25" customHeight="1">
      <c r="A218" s="126"/>
      <c r="B218" s="213"/>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4.25" customHeight="1">
      <c r="A219" s="126"/>
      <c r="B219" s="213"/>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4.25" customHeight="1">
      <c r="A220" s="126"/>
      <c r="B220" s="213"/>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A5"/>
    <mergeCell ref="A6:A9"/>
    <mergeCell ref="B8: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6" ht="12.75" customHeight="1">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6" ht="12.7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row>
    <row r="3" spans="1:26" ht="12.75" customHeight="1">
      <c r="A3" s="220" t="s">
        <v>65</v>
      </c>
      <c r="B3" s="219"/>
      <c r="C3" s="219"/>
      <c r="D3" s="219"/>
      <c r="E3" s="219"/>
      <c r="F3" s="219"/>
      <c r="G3" s="219"/>
      <c r="H3" s="219"/>
      <c r="I3" s="219"/>
      <c r="J3" s="219"/>
      <c r="K3" s="219"/>
      <c r="L3" s="219"/>
      <c r="M3" s="219"/>
      <c r="N3" s="219"/>
      <c r="O3" s="219"/>
      <c r="P3" s="219"/>
      <c r="Q3" s="219"/>
      <c r="R3" s="219"/>
      <c r="S3" s="219"/>
      <c r="T3" s="219"/>
      <c r="U3" s="219"/>
      <c r="V3" s="219"/>
      <c r="W3" s="219"/>
      <c r="X3" s="219"/>
      <c r="Y3" s="219"/>
      <c r="Z3" s="219"/>
    </row>
    <row r="4" spans="1:26" ht="12.75" customHeight="1">
      <c r="A4" s="220" t="s">
        <v>269</v>
      </c>
      <c r="B4" s="219"/>
      <c r="C4" s="219"/>
      <c r="D4" s="219"/>
      <c r="E4" s="219"/>
      <c r="F4" s="219"/>
      <c r="G4" s="219"/>
      <c r="H4" s="219"/>
      <c r="I4" s="219"/>
      <c r="J4" s="219"/>
      <c r="K4" s="219"/>
      <c r="L4" s="219"/>
      <c r="M4" s="219"/>
      <c r="N4" s="219"/>
      <c r="O4" s="219"/>
      <c r="P4" s="219"/>
      <c r="Q4" s="219"/>
      <c r="R4" s="219"/>
      <c r="S4" s="219"/>
      <c r="T4" s="219"/>
      <c r="U4" s="219"/>
      <c r="V4" s="219"/>
      <c r="W4" s="219"/>
      <c r="X4" s="219"/>
      <c r="Y4" s="219"/>
      <c r="Z4" s="219"/>
    </row>
    <row r="5" spans="1:26" ht="12.75" customHeight="1">
      <c r="A5" s="220" t="s">
        <v>586</v>
      </c>
      <c r="B5" s="219"/>
      <c r="C5" s="219"/>
      <c r="D5" s="219"/>
      <c r="E5" s="219"/>
      <c r="F5" s="219"/>
      <c r="G5" s="219"/>
      <c r="H5" s="219"/>
      <c r="I5" s="219"/>
      <c r="J5" s="219"/>
      <c r="K5" s="219"/>
      <c r="L5" s="219"/>
      <c r="M5" s="219"/>
      <c r="N5" s="219"/>
      <c r="O5" s="219"/>
      <c r="P5" s="219"/>
      <c r="Q5" s="219"/>
      <c r="R5" s="219"/>
      <c r="S5" s="219"/>
      <c r="T5" s="219"/>
      <c r="U5" s="219"/>
      <c r="V5" s="219"/>
      <c r="W5" s="219"/>
      <c r="X5" s="219"/>
      <c r="Y5" s="219"/>
      <c r="Z5" s="219"/>
    </row>
    <row r="6" spans="1:26" ht="12.75" customHeight="1">
      <c r="A6" s="220" t="s">
        <v>588</v>
      </c>
      <c r="B6" s="219"/>
      <c r="C6" s="219"/>
      <c r="D6" s="219"/>
      <c r="E6" s="219"/>
      <c r="F6" s="219"/>
      <c r="G6" s="219"/>
      <c r="H6" s="219"/>
      <c r="I6" s="219"/>
      <c r="J6" s="219"/>
      <c r="K6" s="219"/>
      <c r="L6" s="219"/>
      <c r="M6" s="219"/>
      <c r="N6" s="219"/>
      <c r="O6" s="219"/>
      <c r="P6" s="219"/>
      <c r="Q6" s="219"/>
      <c r="R6" s="219"/>
      <c r="S6" s="219"/>
      <c r="T6" s="219"/>
      <c r="U6" s="219"/>
      <c r="V6" s="219"/>
      <c r="W6" s="219"/>
      <c r="X6" s="219"/>
      <c r="Y6" s="219"/>
      <c r="Z6" s="219"/>
    </row>
    <row r="7" spans="1:26" ht="12.75" customHeight="1">
      <c r="A7" s="220" t="s">
        <v>66</v>
      </c>
      <c r="B7" s="219"/>
      <c r="C7" s="219"/>
      <c r="D7" s="219"/>
      <c r="E7" s="219"/>
      <c r="F7" s="219"/>
      <c r="G7" s="219"/>
      <c r="H7" s="219"/>
      <c r="I7" s="219"/>
      <c r="J7" s="219"/>
      <c r="K7" s="219"/>
      <c r="L7" s="219"/>
      <c r="M7" s="219"/>
      <c r="N7" s="219"/>
      <c r="O7" s="219"/>
      <c r="P7" s="219"/>
      <c r="Q7" s="219"/>
      <c r="R7" s="219"/>
      <c r="S7" s="219"/>
      <c r="T7" s="219"/>
      <c r="U7" s="219"/>
      <c r="V7" s="219"/>
      <c r="W7" s="219"/>
      <c r="X7" s="219"/>
      <c r="Y7" s="219"/>
      <c r="Z7" s="219"/>
    </row>
    <row r="8" spans="1:26" ht="12.75" customHeight="1">
      <c r="A8" s="220" t="s">
        <v>67</v>
      </c>
      <c r="B8" s="219"/>
      <c r="C8" s="219"/>
      <c r="D8" s="219"/>
      <c r="E8" s="219"/>
      <c r="F8" s="219"/>
      <c r="G8" s="219"/>
      <c r="H8" s="219"/>
      <c r="I8" s="219"/>
      <c r="J8" s="219"/>
      <c r="K8" s="219"/>
      <c r="L8" s="219"/>
      <c r="M8" s="219"/>
      <c r="N8" s="219"/>
      <c r="O8" s="219"/>
      <c r="P8" s="219"/>
      <c r="Q8" s="219"/>
      <c r="R8" s="219"/>
      <c r="S8" s="219"/>
      <c r="T8" s="219"/>
      <c r="U8" s="219"/>
      <c r="V8" s="219"/>
      <c r="W8" s="219"/>
      <c r="X8" s="219"/>
      <c r="Y8" s="219"/>
      <c r="Z8" s="219"/>
    </row>
    <row r="9" spans="1:26" ht="12.75" customHeight="1">
      <c r="A9" s="220" t="s">
        <v>230</v>
      </c>
      <c r="B9" s="219"/>
      <c r="C9" s="219"/>
      <c r="D9" s="219"/>
      <c r="E9" s="219"/>
      <c r="F9" s="219"/>
      <c r="G9" s="219"/>
      <c r="H9" s="219"/>
      <c r="I9" s="219"/>
      <c r="J9" s="219"/>
      <c r="K9" s="219"/>
      <c r="L9" s="219"/>
      <c r="M9" s="219"/>
      <c r="N9" s="219"/>
      <c r="O9" s="219"/>
      <c r="P9" s="219"/>
      <c r="Q9" s="219"/>
      <c r="R9" s="219"/>
      <c r="S9" s="219"/>
      <c r="T9" s="219"/>
      <c r="U9" s="219"/>
      <c r="V9" s="219"/>
      <c r="W9" s="219"/>
      <c r="X9" s="219"/>
      <c r="Y9" s="219"/>
      <c r="Z9" s="219"/>
    </row>
    <row r="10" spans="1:26" ht="12.75" customHeight="1">
      <c r="A10" s="220" t="s">
        <v>68</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row>
    <row r="11" spans="1:26" ht="12.75" customHeight="1">
      <c r="A11" s="220" t="s">
        <v>596</v>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row>
    <row r="12" spans="1:26" ht="12.75" customHeight="1">
      <c r="A12" s="220" t="s">
        <v>617</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row>
    <row r="13" spans="1:26" ht="12.75" customHeight="1">
      <c r="A13" s="220" t="s">
        <v>618</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row>
    <row r="14" spans="1:26" ht="12.75" customHeight="1">
      <c r="A14" s="220" t="s">
        <v>619</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row>
    <row r="15" spans="1:26" ht="12.75" customHeight="1">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row>
    <row r="16" spans="1:26" ht="12.75" customHeight="1">
      <c r="A16" s="220" t="s">
        <v>70</v>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row>
    <row r="17" spans="1:26" ht="12.75" customHeight="1">
      <c r="A17" s="220" t="s">
        <v>440</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row>
    <row r="18" spans="1:26" ht="12.75" customHeight="1">
      <c r="A18" s="220" t="s">
        <v>178</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row>
    <row r="19" spans="1:26" ht="12.75" customHeight="1">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row>
    <row r="20" spans="1:26" ht="12.75" customHeight="1">
      <c r="A20" s="220" t="s">
        <v>620</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row>
    <row r="21" spans="1:26" ht="12.75" customHeight="1">
      <c r="A21" s="220" t="s">
        <v>621</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row>
    <row r="22" spans="1:26" ht="12.7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row>
    <row r="23" spans="1:26" ht="12.75" customHeigh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row>
    <row r="24" spans="1:26" ht="12.75" customHeight="1">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row>
    <row r="25" spans="1:26" ht="12.75"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row>
    <row r="26" spans="1:26" ht="12.75" customHeight="1">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row>
    <row r="27" spans="1:26" ht="12.75" customHeight="1">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row>
    <row r="28" spans="1:26" ht="12.75" customHeight="1">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row>
    <row r="29" spans="1:26" ht="12.75" customHeight="1">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row>
    <row r="30" spans="1:26" ht="12.75" customHeight="1">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row>
    <row r="31" spans="1:26" ht="12.75" customHeight="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row>
    <row r="32" spans="1:26" ht="12.75" customHeight="1">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row>
    <row r="33" spans="1:26" ht="12.75" customHeight="1">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row>
    <row r="34" spans="1:26" ht="12.75" customHeight="1">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12.75" customHeight="1">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1:26" ht="12.75" customHeight="1">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row>
    <row r="37" spans="1:26" ht="12.75" customHeight="1">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row>
    <row r="38" spans="1:26" ht="12.75" customHeight="1">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1:26" ht="12.75" customHeight="1">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row>
    <row r="40" spans="1:26" ht="12.75" customHeight="1">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row>
    <row r="41" spans="1:26" ht="12.75" customHeight="1">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row>
    <row r="42" spans="1:26" ht="12.75" customHeight="1">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row>
    <row r="43" spans="1:26" ht="12.75" customHeight="1">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row>
    <row r="44" spans="1:26" ht="12.75" customHeight="1">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row>
    <row r="45" spans="1:26" ht="12.75" customHeight="1">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row>
    <row r="46" spans="1:26" ht="12.75" customHeight="1">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row>
    <row r="47" spans="1:26" ht="12.75" customHeight="1">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row>
    <row r="48" spans="1:26" ht="12.75" customHeight="1">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row>
    <row r="49" spans="1:26" ht="12.75" customHeight="1">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row>
    <row r="50" spans="1:26" ht="12.75" customHeight="1">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row>
    <row r="51" spans="1:26" ht="12.75" customHeight="1">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row>
    <row r="52" spans="1:26" ht="12.75" customHeight="1">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row>
    <row r="53" spans="1:26" ht="12.75" customHeight="1">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row>
    <row r="54" spans="1:26" ht="12.75" customHeight="1">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row>
    <row r="55" spans="1:26" ht="12.75" customHeight="1">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row>
    <row r="56" spans="1:26" ht="12.75" customHeight="1">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row>
    <row r="57" spans="1:26" ht="12.75" customHeight="1">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row>
    <row r="58" spans="1:26" ht="12.75" customHeight="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row>
    <row r="59" spans="1:26" ht="12.75" customHeight="1">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row>
    <row r="60" spans="1:26" ht="12.75" customHeight="1">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row>
    <row r="61" spans="1:26" ht="12.75" customHeight="1">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row>
    <row r="62" spans="1:26" ht="12.75" customHeight="1">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row>
    <row r="63" spans="1:26" ht="12.75" customHeight="1">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row>
    <row r="64" spans="1:26" ht="12.75" customHeight="1">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row>
    <row r="65" spans="1:26" ht="12.7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row>
    <row r="66" spans="1:26" ht="12.7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1:26" ht="12.75" customHeight="1">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1:26" ht="12.75" customHeight="1">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1:26" ht="12.75" customHeight="1">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row>
    <row r="70" spans="1:26" ht="12.75" customHeight="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row>
    <row r="71" spans="1:26" ht="12.75" customHeight="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row>
    <row r="72" spans="1:26" ht="12.75" customHeight="1">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row>
    <row r="73" spans="1:26" ht="12.75" customHeight="1">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row>
    <row r="74" spans="1:26" ht="12.75" customHeight="1">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row>
    <row r="75" spans="1:26" ht="12.75" customHeight="1">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row>
    <row r="76" spans="1:26" ht="12.75" customHeight="1">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row>
    <row r="77" spans="1:26" ht="12.75" customHeight="1">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row>
    <row r="78" spans="1:26" ht="12.75" customHeight="1">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row>
    <row r="79" spans="1:26" ht="12.75" customHeight="1">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row>
    <row r="80" spans="1:26" ht="12.75" customHeight="1">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row>
    <row r="81" spans="1:26" ht="12.75" customHeight="1">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row>
    <row r="82" spans="1:26" ht="12.75" customHeight="1">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row>
    <row r="83" spans="1:26" ht="12.75" customHeight="1">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row>
    <row r="84" spans="1:26" ht="12.75" customHeight="1">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row>
    <row r="85" spans="1:26" ht="12.75" customHeight="1">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row>
    <row r="86" spans="1:26" ht="12.75" customHeight="1">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row>
    <row r="87" spans="1:26" ht="12.75" customHeight="1">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row>
    <row r="88" spans="1:26" ht="12.75" customHeight="1">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row>
    <row r="89" spans="1:26" ht="12.75" customHeight="1">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row>
    <row r="90" spans="1:26" ht="12.75" customHeight="1">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row>
    <row r="91" spans="1:26" ht="12.75" customHeight="1">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row>
    <row r="92" spans="1:26" ht="12.75" customHeight="1">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row>
    <row r="93" spans="1:26" ht="12.75" customHeight="1">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row>
    <row r="94" spans="1:26" ht="12.75" customHeight="1">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row>
    <row r="95" spans="1:26" ht="12.75" customHeight="1">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row>
    <row r="96" spans="1:26" ht="12.75" customHeight="1">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row>
    <row r="97" spans="1:26" ht="12.75" customHeight="1">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row>
    <row r="98" spans="1:26" ht="12.75" customHeight="1">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row>
    <row r="99" spans="1:26" ht="12.75" customHeight="1">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row>
    <row r="100" spans="1:26" ht="12.75" customHeight="1">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row>
    <row r="101" spans="1:26" ht="12.75"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row>
    <row r="102" spans="1:26" ht="12.75" customHeight="1">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row>
    <row r="103" spans="1:26" ht="12.75" customHeight="1">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2.75" customHeight="1">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2.75" customHeight="1">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2.7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row>
    <row r="107" spans="1:26" ht="12.75" customHeight="1">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row>
    <row r="108" spans="1:26" ht="12.75" customHeight="1">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row>
    <row r="109" spans="1:26" ht="12.75" customHeight="1">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row>
    <row r="110" spans="1:26" ht="12.75" customHeight="1">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row>
    <row r="111" spans="1:26" ht="12.75" customHeight="1">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row>
    <row r="112" spans="1:26" ht="12.7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row>
    <row r="113" spans="1:26" ht="12.7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row>
    <row r="114" spans="1:26" ht="12.7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row>
    <row r="115" spans="1:26" ht="12.7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row>
    <row r="116" spans="1:26" ht="12.7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row>
    <row r="117" spans="1:26" ht="12.7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row>
    <row r="118" spans="1:26" ht="12.7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row>
    <row r="119" spans="1:26" ht="12.7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row>
    <row r="120" spans="1:26" ht="12.7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row>
    <row r="121" spans="1:26" ht="12.7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row>
    <row r="122" spans="1:26" ht="12.7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row>
    <row r="123" spans="1:26" ht="12.7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row>
    <row r="124" spans="1:26" ht="12.7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row>
    <row r="125" spans="1:26" ht="12.7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row>
    <row r="126" spans="1:26" ht="12.7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row>
    <row r="127" spans="1:26" ht="12.7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row>
    <row r="128" spans="1:26" ht="12.7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row>
    <row r="129" spans="1:26" ht="12.7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row>
    <row r="130" spans="1:26" ht="12.7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row>
    <row r="131" spans="1:26" ht="12.7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row>
    <row r="132" spans="1:26" ht="12.7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row>
    <row r="133" spans="1:26" ht="12.7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row>
    <row r="134" spans="1:26" ht="12.7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row>
    <row r="135" spans="1:26" ht="12.7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row>
    <row r="136" spans="1:26" ht="12.7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row>
    <row r="137" spans="1:26" ht="12.7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row>
    <row r="138" spans="1:26" ht="12.7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row>
    <row r="139" spans="1:26" ht="12.7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row>
    <row r="140" spans="1:26" ht="12.7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row>
    <row r="141" spans="1:26" ht="12.7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2.7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row>
    <row r="143" spans="1:26" ht="12.7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row>
    <row r="144" spans="1:26" ht="12.7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row>
    <row r="145" spans="1:26" ht="12.7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row>
    <row r="146" spans="1:26" ht="12.7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row>
    <row r="147" spans="1:26" ht="12.7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row>
    <row r="148" spans="1:26" ht="12.7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row>
    <row r="149" spans="1:26" ht="12.7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row>
    <row r="150" spans="1:26" ht="12.7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row>
    <row r="151" spans="1:26" ht="12.7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row>
    <row r="152" spans="1:26" ht="12.7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row>
    <row r="153" spans="1:26" ht="12.7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row>
    <row r="154" spans="1:26" ht="12.7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row>
    <row r="155" spans="1:26" ht="12.7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row>
    <row r="156" spans="1:26" ht="12.7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2.7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row>
    <row r="158" spans="1:26" ht="12.7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row>
    <row r="159" spans="1:26" ht="12.7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row>
    <row r="160" spans="1:26" ht="12.7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row>
    <row r="161" spans="1:26" ht="12.7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row>
    <row r="162" spans="1:26" ht="12.7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row>
    <row r="163" spans="1:26" ht="12.7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row>
    <row r="164" spans="1:26" ht="12.7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row>
    <row r="165" spans="1:26" ht="12.7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row>
    <row r="166" spans="1:26" ht="12.7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row>
    <row r="167" spans="1:26" ht="12.7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row>
    <row r="168" spans="1:26" ht="12.7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row>
    <row r="169" spans="1:26" ht="12.7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row>
    <row r="170" spans="1:26" ht="12.7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row>
    <row r="171" spans="1:26" ht="12.7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row>
    <row r="172" spans="1:26" ht="12.7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row>
    <row r="173" spans="1:26" ht="12.7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row>
    <row r="174" spans="1:26" ht="12.7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row>
    <row r="175" spans="1:26" ht="12.7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row>
    <row r="176" spans="1:26" ht="12.7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row>
    <row r="177" spans="1:26" ht="12.7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row>
    <row r="178" spans="1:26" ht="12.7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row>
    <row r="179" spans="1:26" ht="12.7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row>
    <row r="180" spans="1:26" ht="12.7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row>
    <row r="181" spans="1:26" ht="12.7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row>
    <row r="182" spans="1:26" ht="12.7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row>
    <row r="183" spans="1:26" ht="12.7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row>
    <row r="184" spans="1:26" ht="12.7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row>
    <row r="185" spans="1:26" ht="12.7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row>
    <row r="186" spans="1:26" ht="12.7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row>
    <row r="187" spans="1:26" ht="12.7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row>
    <row r="188" spans="1:26" ht="12.7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row>
    <row r="189" spans="1:26" ht="12.7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row>
    <row r="190" spans="1:26" ht="12.7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row>
    <row r="191" spans="1:26" ht="12.7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row>
    <row r="192" spans="1:26" ht="12.7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2.7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row>
    <row r="194" spans="1:26" ht="12.7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row>
    <row r="195" spans="1:26" ht="12.7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row>
    <row r="196" spans="1:26" ht="12.7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row>
    <row r="197" spans="1:26" ht="12.7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row>
    <row r="198" spans="1:26" ht="12.7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row>
    <row r="199" spans="1:26" ht="12.7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row>
    <row r="200" spans="1:26" ht="12.7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row>
    <row r="201" spans="1:26" ht="12.7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row>
    <row r="202" spans="1:26" ht="12.7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row>
    <row r="203" spans="1:26" ht="12.7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row>
    <row r="204" spans="1:26" ht="12.7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row>
    <row r="205" spans="1:26" ht="12.7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row>
    <row r="206" spans="1:26" ht="12.7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row>
    <row r="207" spans="1:26" ht="12.7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row>
    <row r="208" spans="1:26" ht="12.7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row>
    <row r="209" spans="1:26" ht="12.7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row>
    <row r="210" spans="1:26" ht="12.7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2.7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row>
    <row r="212" spans="1:26" ht="12.7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row>
    <row r="213" spans="1:26" ht="12.7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row>
    <row r="214" spans="1:26" ht="12.7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row>
    <row r="215" spans="1:26" ht="12.7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row>
    <row r="216" spans="1:26" ht="12.7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row>
    <row r="217" spans="1:26" ht="12.7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row>
    <row r="218" spans="1:26" ht="12.7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row>
    <row r="219" spans="1:26" ht="12.7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row>
    <row r="220" spans="1:26" ht="12.7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row>
    <row r="221" spans="1:26" ht="12.7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Mapa de Riesgos de Corrupción</vt:lpstr>
      <vt:lpstr>Mapa de Riesgos de Gestión</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Andrea Navarro Lara</cp:lastModifiedBy>
  <dcterms:created xsi:type="dcterms:W3CDTF">2020-03-24T23:12:47Z</dcterms:created>
  <dcterms:modified xsi:type="dcterms:W3CDTF">2025-05-21T20:42:24Z</dcterms:modified>
</cp:coreProperties>
</file>